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6E710755-F3E0-4A26-8607-AFEDE5789A62}" xr6:coauthVersionLast="47" xr6:coauthVersionMax="47" xr10:uidLastSave="{00000000-0000-0000-0000-000000000000}"/>
  <bookViews>
    <workbookView xWindow="-110" yWindow="-110" windowWidth="19420" windowHeight="10420" firstSheet="1" activeTab="5" xr2:uid="{00000000-000D-0000-FFFF-FFFF00000000}"/>
  </bookViews>
  <sheets>
    <sheet name="SKA -7 kg" sheetId="9" r:id="rId1"/>
    <sheet name="SKA 7-15 kg" sheetId="8" r:id="rId2"/>
    <sheet name="SKA &gt; 15 kg" sheetId="11" r:id="rId3"/>
    <sheet name="PCA &gt; 15 kg" sheetId="1" r:id="rId4"/>
    <sheet name="PCA 5mg per ml" sheetId="12" r:id="rId5"/>
    <sheet name="PCA onkologi" sheetId="13" r:id="rId6"/>
  </sheets>
  <definedNames>
    <definedName name="OLE_LINK1" localSheetId="5">'PCA onkologi'!$A$28</definedName>
    <definedName name="_xlnm.Print_Area" localSheetId="3">'PCA &gt; 15 kg'!$A$1:$G$88</definedName>
    <definedName name="_xlnm.Print_Area" localSheetId="4">'PCA 5mg per ml'!$A$1:$G$87</definedName>
    <definedName name="_xlnm.Print_Area" localSheetId="5">'PCA onkologi'!$A$1:$G$88</definedName>
    <definedName name="_xlnm.Print_Area" localSheetId="2">'SKA &gt; 15 kg'!$A$1:$G$88</definedName>
    <definedName name="_xlnm.Print_Area" localSheetId="0">'SKA -7 kg'!$A$1:$G$67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" l="1"/>
  <c r="F8" i="13"/>
  <c r="F11" i="13"/>
  <c r="F12" i="13"/>
  <c r="F13" i="13"/>
  <c r="D14" i="13"/>
  <c r="F14" i="13"/>
  <c r="F15" i="13"/>
  <c r="K16" i="13"/>
  <c r="L16" i="13"/>
  <c r="F19" i="13"/>
  <c r="B3" i="12"/>
  <c r="F11" i="12"/>
  <c r="F12" i="12"/>
  <c r="F13" i="12"/>
  <c r="D14" i="12"/>
  <c r="F14" i="12"/>
  <c r="F15" i="12"/>
  <c r="H16" i="12"/>
  <c r="I16" i="12"/>
  <c r="F19" i="12"/>
  <c r="B3" i="1"/>
  <c r="F8" i="1"/>
  <c r="F11" i="1"/>
  <c r="F12" i="1"/>
  <c r="F13" i="1"/>
  <c r="D14" i="1"/>
  <c r="F14" i="1"/>
  <c r="F15" i="1"/>
  <c r="K16" i="1"/>
  <c r="L16" i="1"/>
  <c r="F19" i="1"/>
  <c r="B3" i="11"/>
  <c r="F11" i="11"/>
  <c r="F12" i="11"/>
  <c r="F13" i="11"/>
  <c r="D14" i="11"/>
  <c r="F14" i="11"/>
  <c r="F15" i="11"/>
  <c r="F19" i="11"/>
  <c r="B3" i="8"/>
  <c r="F11" i="8"/>
  <c r="F12" i="8"/>
  <c r="F13" i="8"/>
  <c r="D14" i="8"/>
  <c r="F14" i="8"/>
  <c r="F15" i="8"/>
  <c r="F19" i="8"/>
  <c r="B3" i="9"/>
  <c r="F8" i="9"/>
  <c r="F11" i="9"/>
  <c r="F12" i="9"/>
  <c r="F13" i="9"/>
  <c r="D14" i="9"/>
  <c r="F14" i="9"/>
  <c r="F15" i="9"/>
  <c r="F19" i="9"/>
</calcChain>
</file>

<file path=xl/sharedStrings.xml><?xml version="1.0" encoding="utf-8"?>
<sst xmlns="http://schemas.openxmlformats.org/spreadsheetml/2006/main" count="199" uniqueCount="51">
  <si>
    <t>OBS! Vikt upp till 7 kg eller &lt; 6 månader</t>
  </si>
  <si>
    <t>Datum</t>
  </si>
  <si>
    <t>Patientens vikt</t>
  </si>
  <si>
    <t>kg</t>
  </si>
  <si>
    <t>Ordinerande läkare_________________Sign________</t>
  </si>
  <si>
    <t>Morfinlösning / Ketogan novum / OxyNorm</t>
  </si>
  <si>
    <t>Dosering:</t>
  </si>
  <si>
    <t xml:space="preserve">     Dos</t>
  </si>
  <si>
    <t>Inf. hastighet</t>
  </si>
  <si>
    <r>
      <t xml:space="preserve">1.   Behandlingen inleds med en laddningsdos om </t>
    </r>
    <r>
      <rPr>
        <b/>
        <u/>
        <sz val="12"/>
        <rFont val="Arial"/>
        <family val="2"/>
      </rPr>
      <t>50</t>
    </r>
    <r>
      <rPr>
        <b/>
        <sz val="12"/>
        <rFont val="Arial"/>
        <family val="2"/>
      </rPr>
      <t>-100</t>
    </r>
    <r>
      <rPr>
        <b/>
        <u/>
        <sz val="12"/>
        <rFont val="Arial"/>
        <family val="2"/>
      </rPr>
      <t xml:space="preserve"> </t>
    </r>
    <r>
      <rPr>
        <b/>
        <sz val="12"/>
        <rFont val="Arial"/>
        <family val="2"/>
      </rPr>
      <t>µg/kg.</t>
    </r>
  </si>
  <si>
    <t>5 µg/kg/tim =</t>
  </si>
  <si>
    <t xml:space="preserve">   Laddningsdos: ____mg = _____ml Givet kl _____Sign _____</t>
  </si>
  <si>
    <t>10 µg/kg/tim =</t>
  </si>
  <si>
    <t>2.   Infusion: startad kl __________ Sign ssk _________</t>
  </si>
  <si>
    <t>20 µg/kg/tim =</t>
  </si>
  <si>
    <t>3.   Bolusdos Morfin/ketogan/oxycodon 1mg/ml: 20ug/kg =</t>
  </si>
  <si>
    <t>30 µg/kg/tim =</t>
  </si>
  <si>
    <t>Ges vid smärtgenombrott. Infusionshastigheten ökas vb enl. ordination.</t>
  </si>
  <si>
    <t>40 µg/kg/tim =</t>
  </si>
  <si>
    <t>OBS! Laddningsdos ges från separat spruta med Morfin 1 mg/ml</t>
  </si>
  <si>
    <r>
      <t>Antidot:</t>
    </r>
    <r>
      <rPr>
        <b/>
        <sz val="12"/>
        <rFont val="Arial"/>
        <family val="2"/>
      </rPr>
      <t xml:space="preserve"> Vid andningspåverkan ges Naloxon 2 µg/kg.</t>
    </r>
  </si>
  <si>
    <r>
      <t xml:space="preserve">eller </t>
    </r>
    <r>
      <rPr>
        <b/>
        <u/>
        <sz val="12"/>
        <rFont val="Arial"/>
        <family val="2"/>
      </rPr>
      <t>Naloxon 0,4 mg/ml:</t>
    </r>
  </si>
  <si>
    <t>Tillkalla ansvarig läkare alternativt jourhavande narkosläkare vid problem:</t>
  </si>
  <si>
    <t>1. Om patienten inte är adekvat smärtlindrad med denna regim</t>
  </si>
  <si>
    <t>2. Om patienten är tungt sederad o/e har andningsfrekvens &lt; 10 - 15/min</t>
  </si>
  <si>
    <r>
      <t>Övrig smärtlindring:</t>
    </r>
    <r>
      <rPr>
        <b/>
        <sz val="12"/>
        <rFont val="Arial"/>
        <family val="2"/>
      </rPr>
      <t xml:space="preserve"> Paracetamol: 80 - 100 mg/kg/dygn fördelat på 3 - 6 doser</t>
    </r>
  </si>
  <si>
    <t xml:space="preserve">     Ja / Nej</t>
  </si>
  <si>
    <t>Ibuprofen 10 mg/kg X 4 (Endast om &gt; 6 mån.) eller</t>
  </si>
  <si>
    <t>Diclofenac: 2 - 3 mg/kg/dygn fördelat på 2 - 3 doser. (Endast om &gt;1 år &amp; &gt;8 kg)</t>
  </si>
  <si>
    <t>Ja / Nej</t>
  </si>
  <si>
    <r>
      <t>*</t>
    </r>
    <r>
      <rPr>
        <b/>
        <sz val="12"/>
        <rFont val="Arial"/>
        <family val="2"/>
      </rPr>
      <t>Andningsdjup: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 xml:space="preserve"> = djup, 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 xml:space="preserve"> = normal, </t>
    </r>
    <r>
      <rPr>
        <b/>
        <sz val="12"/>
        <rFont val="Arial"/>
        <family val="2"/>
      </rPr>
      <t>Y</t>
    </r>
    <r>
      <rPr>
        <sz val="12"/>
        <rFont val="Arial"/>
        <family val="2"/>
      </rPr>
      <t xml:space="preserve"> = ytlig.</t>
    </r>
  </si>
  <si>
    <r>
      <t xml:space="preserve">** </t>
    </r>
    <r>
      <rPr>
        <b/>
        <sz val="12"/>
        <rFont val="Arial"/>
        <family val="2"/>
      </rPr>
      <t>Vakenhet: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1</t>
    </r>
    <r>
      <rPr>
        <sz val="12"/>
        <rFont val="Arial"/>
        <family val="2"/>
      </rPr>
      <t xml:space="preserve"> = vaken, </t>
    </r>
    <r>
      <rPr>
        <b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= dåsig men svarar på tilltal </t>
    </r>
    <r>
      <rPr>
        <b/>
        <sz val="12"/>
        <rFont val="Arial"/>
        <family val="2"/>
      </rPr>
      <t>eller</t>
    </r>
    <r>
      <rPr>
        <sz val="12"/>
        <rFont val="Arial"/>
        <family val="2"/>
      </rPr>
      <t xml:space="preserve"> sover men reagerar på lätta stimuli, </t>
    </r>
  </si>
  <si>
    <r>
      <t>3</t>
    </r>
    <r>
      <rPr>
        <sz val="12"/>
        <rFont val="Arial"/>
        <family val="2"/>
      </rPr>
      <t xml:space="preserve"> = slö och svårväckt eller sover men reagerar på starka stimuli, </t>
    </r>
    <r>
      <rPr>
        <b/>
        <sz val="12"/>
        <rFont val="Arial"/>
        <family val="2"/>
      </rPr>
      <t xml:space="preserve">4 </t>
    </r>
    <r>
      <rPr>
        <sz val="12"/>
        <rFont val="Arial"/>
        <family val="2"/>
      </rPr>
      <t>= medvetslös.</t>
    </r>
  </si>
  <si>
    <t>OBS! Onkologpatienter med långvarig smärta som är opioidvana</t>
  </si>
  <si>
    <t>0,1 mg/ml</t>
  </si>
  <si>
    <r>
      <t>1.   Behandlingen inleds med en laddningsdos om 100-</t>
    </r>
    <r>
      <rPr>
        <b/>
        <u/>
        <sz val="12"/>
        <rFont val="Arial"/>
        <family val="2"/>
      </rPr>
      <t>150</t>
    </r>
    <r>
      <rPr>
        <b/>
        <sz val="12"/>
        <rFont val="Arial"/>
        <family val="2"/>
      </rPr>
      <t xml:space="preserve"> µg/kg.</t>
    </r>
  </si>
  <si>
    <t>3.   Bolusdos Morfin/ketogan/oxycodon 1mg/ml 20ug/kg =</t>
  </si>
  <si>
    <r>
      <t xml:space="preserve"> </t>
    </r>
    <r>
      <rPr>
        <b/>
        <u/>
        <sz val="12"/>
        <rFont val="Arial"/>
        <family val="2"/>
      </rPr>
      <t>Naloxon 0,4 mg/ml:</t>
    </r>
  </si>
  <si>
    <t xml:space="preserve">        Ja / Nej</t>
  </si>
  <si>
    <t xml:space="preserve">SKA Vikt &gt;15 kg </t>
  </si>
  <si>
    <t>1 mg/ml</t>
  </si>
  <si>
    <t>Dos</t>
  </si>
  <si>
    <r>
      <t xml:space="preserve">1.   Behandlingen inleds med en laddningsdos om </t>
    </r>
    <r>
      <rPr>
        <b/>
        <u/>
        <sz val="12"/>
        <rFont val="Arial"/>
        <family val="2"/>
      </rPr>
      <t>100</t>
    </r>
    <r>
      <rPr>
        <b/>
        <sz val="12"/>
        <rFont val="Arial"/>
        <family val="2"/>
      </rPr>
      <t>-150 µg/kg.</t>
    </r>
  </si>
  <si>
    <t xml:space="preserve">    Laddningsdos: ____mg = _____ml Givet kl _____Sign _____</t>
  </si>
  <si>
    <t>Naloxon 0,4 mg/ml:</t>
  </si>
  <si>
    <t>OBS! Vikt &gt;15 kg</t>
  </si>
  <si>
    <r>
      <t>1.   Behandlingen inleds med en laddningsdos om 100-</t>
    </r>
    <r>
      <rPr>
        <b/>
        <u/>
        <sz val="12"/>
        <rFont val="Arial"/>
        <family val="2"/>
      </rPr>
      <t>150</t>
    </r>
    <r>
      <rPr>
        <b/>
        <sz val="12"/>
        <rFont val="Arial"/>
        <family val="2"/>
      </rPr>
      <t>-200 µg/kg.</t>
    </r>
  </si>
  <si>
    <t>5 mg/ml</t>
  </si>
  <si>
    <t>60 µg/kg/tim =</t>
  </si>
  <si>
    <t>80 µg/kg/tim =</t>
  </si>
  <si>
    <t>Onkologi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</si>
</sst>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\-mm\-dd"/>
    <numFmt numFmtId="165" formatCode="0.0"/>
  </numFmts>
  <fonts count="17" x14ac:knownFonts="1">
    <font>
      <sz val="10"/>
      <name val="Arial"/>
    </font>
    <font>
      <sz val="10"/>
      <name val="Book Antiqua"/>
      <family val="1"/>
    </font>
    <font>
      <b/>
      <sz val="12"/>
      <name val="Book Antiqua"/>
      <family val="1"/>
    </font>
    <font>
      <b/>
      <u/>
      <sz val="12"/>
      <name val="Book Antiqua"/>
      <family val="1"/>
    </font>
    <font>
      <sz val="12"/>
      <name val="Book Antiqua"/>
      <family val="1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4"/>
      <name val="Arial Black"/>
      <family val="2"/>
    </font>
    <font>
      <sz val="14"/>
      <name val="Arial Black"/>
      <family val="2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1" xfId="0" applyFont="1" applyFill="1" applyBorder="1"/>
    <xf numFmtId="165" fontId="2" fillId="2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centerContinuous"/>
    </xf>
    <xf numFmtId="0" fontId="4" fillId="3" borderId="2" xfId="0" applyFont="1" applyFill="1" applyBorder="1" applyAlignment="1">
      <alignment vertical="center"/>
    </xf>
    <xf numFmtId="0" fontId="6" fillId="3" borderId="0" xfId="0" applyFont="1" applyFill="1"/>
    <xf numFmtId="164" fontId="7" fillId="2" borderId="0" xfId="0" applyNumberFormat="1" applyFont="1" applyFill="1" applyAlignment="1">
      <alignment horizontal="center"/>
    </xf>
    <xf numFmtId="0" fontId="8" fillId="3" borderId="0" xfId="0" applyFont="1" applyFill="1"/>
    <xf numFmtId="165" fontId="7" fillId="2" borderId="0" xfId="0" applyNumberFormat="1" applyFont="1" applyFill="1" applyAlignment="1" applyProtection="1">
      <alignment horizontal="center"/>
      <protection locked="0"/>
    </xf>
    <xf numFmtId="165" fontId="7" fillId="3" borderId="3" xfId="0" applyNumberFormat="1" applyFont="1" applyFill="1" applyBorder="1"/>
    <xf numFmtId="0" fontId="7" fillId="3" borderId="0" xfId="0" applyFont="1" applyFill="1"/>
    <xf numFmtId="0" fontId="9" fillId="3" borderId="0" xfId="0" applyFont="1" applyFill="1"/>
    <xf numFmtId="0" fontId="7" fillId="3" borderId="3" xfId="0" applyFont="1" applyFill="1" applyBorder="1"/>
    <xf numFmtId="0" fontId="9" fillId="3" borderId="4" xfId="0" applyFont="1" applyFill="1" applyBorder="1"/>
    <xf numFmtId="0" fontId="11" fillId="3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0" fillId="3" borderId="6" xfId="0" applyFont="1" applyFill="1" applyBorder="1"/>
    <xf numFmtId="165" fontId="7" fillId="3" borderId="7" xfId="0" applyNumberFormat="1" applyFont="1" applyFill="1" applyBorder="1"/>
    <xf numFmtId="0" fontId="9" fillId="3" borderId="7" xfId="0" applyFont="1" applyFill="1" applyBorder="1"/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indent="1"/>
    </xf>
    <xf numFmtId="0" fontId="7" fillId="3" borderId="1" xfId="0" applyFont="1" applyFill="1" applyBorder="1"/>
    <xf numFmtId="0" fontId="9" fillId="3" borderId="3" xfId="0" applyFont="1" applyFill="1" applyBorder="1"/>
    <xf numFmtId="0" fontId="12" fillId="3" borderId="3" xfId="0" applyFont="1" applyFill="1" applyBorder="1"/>
    <xf numFmtId="0" fontId="12" fillId="3" borderId="4" xfId="0" applyFont="1" applyFill="1" applyBorder="1"/>
    <xf numFmtId="0" fontId="14" fillId="3" borderId="9" xfId="0" applyFont="1" applyFill="1" applyBorder="1" applyAlignment="1">
      <alignment horizontal="left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/>
    <xf numFmtId="0" fontId="9" fillId="3" borderId="10" xfId="0" applyFont="1" applyFill="1" applyBorder="1"/>
    <xf numFmtId="0" fontId="10" fillId="3" borderId="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/>
    </xf>
    <xf numFmtId="0" fontId="9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165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165" fontId="7" fillId="2" borderId="0" xfId="0" applyNumberFormat="1" applyFont="1" applyFill="1"/>
    <xf numFmtId="0" fontId="9" fillId="3" borderId="2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4" borderId="0" xfId="0" applyFont="1" applyFill="1"/>
    <xf numFmtId="0" fontId="9" fillId="4" borderId="1" xfId="0" applyFont="1" applyFill="1" applyBorder="1"/>
    <xf numFmtId="0" fontId="9" fillId="4" borderId="3" xfId="0" applyFont="1" applyFill="1" applyBorder="1"/>
    <xf numFmtId="0" fontId="9" fillId="4" borderId="6" xfId="0" applyFont="1" applyFill="1" applyBorder="1"/>
    <xf numFmtId="0" fontId="9" fillId="4" borderId="7" xfId="0" applyFont="1" applyFill="1" applyBorder="1"/>
    <xf numFmtId="0" fontId="13" fillId="3" borderId="7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5" borderId="0" xfId="0" applyFont="1" applyFill="1"/>
    <xf numFmtId="0" fontId="7" fillId="5" borderId="1" xfId="0" applyFont="1" applyFill="1" applyBorder="1"/>
    <xf numFmtId="0" fontId="9" fillId="5" borderId="9" xfId="0" applyFont="1" applyFill="1" applyBorder="1"/>
    <xf numFmtId="0" fontId="9" fillId="5" borderId="3" xfId="0" applyFont="1" applyFill="1" applyBorder="1"/>
    <xf numFmtId="0" fontId="7" fillId="4" borderId="9" xfId="0" applyFont="1" applyFill="1" applyBorder="1"/>
    <xf numFmtId="2" fontId="7" fillId="2" borderId="0" xfId="0" applyNumberFormat="1" applyFont="1" applyFill="1" applyAlignment="1">
      <alignment horizontal="center"/>
    </xf>
    <xf numFmtId="0" fontId="10" fillId="3" borderId="0" xfId="0" applyFont="1" applyFill="1"/>
    <xf numFmtId="165" fontId="7" fillId="3" borderId="0" xfId="0" applyNumberFormat="1" applyFont="1" applyFill="1" applyAlignment="1">
      <alignment horizontal="center"/>
    </xf>
    <xf numFmtId="0" fontId="0" fillId="2" borderId="0" xfId="0" applyFill="1"/>
    <xf numFmtId="0" fontId="0" fillId="4" borderId="7" xfId="0" applyFill="1" applyBorder="1"/>
    <xf numFmtId="0" fontId="0" fillId="4" borderId="10" xfId="0" applyFill="1" applyBorder="1"/>
    <xf numFmtId="0" fontId="0" fillId="4" borderId="0" xfId="0" applyFill="1"/>
    <xf numFmtId="0" fontId="0" fillId="4" borderId="8" xfId="0" applyFill="1" applyBorder="1"/>
    <xf numFmtId="0" fontId="0" fillId="4" borderId="3" xfId="0" applyFill="1" applyBorder="1"/>
    <xf numFmtId="0" fontId="0" fillId="4" borderId="4" xfId="0" applyFill="1" applyBorder="1"/>
    <xf numFmtId="0" fontId="9" fillId="4" borderId="10" xfId="0" applyFont="1" applyFill="1" applyBorder="1"/>
    <xf numFmtId="0" fontId="9" fillId="4" borderId="8" xfId="0" applyFont="1" applyFill="1" applyBorder="1"/>
    <xf numFmtId="0" fontId="9" fillId="4" borderId="4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10" xfId="0" applyFont="1" applyFill="1" applyBorder="1"/>
    <xf numFmtId="0" fontId="9" fillId="5" borderId="8" xfId="0" applyFont="1" applyFill="1" applyBorder="1"/>
    <xf numFmtId="0" fontId="9" fillId="5" borderId="4" xfId="0" applyFont="1" applyFill="1" applyBorder="1"/>
    <xf numFmtId="0" fontId="16" fillId="3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5</xdr:col>
      <xdr:colOff>676275</xdr:colOff>
      <xdr:row>59</xdr:row>
      <xdr:rowOff>104775</xdr:rowOff>
    </xdr:to>
    <xdr:pic>
      <xdr:nvPicPr>
        <xdr:cNvPr id="5148" name="Picture 3">
          <a:extLst>
            <a:ext uri="{FF2B5EF4-FFF2-40B4-BE49-F238E27FC236}">
              <a16:creationId xmlns:a16="http://schemas.microsoft.com/office/drawing/2014/main" id="{1DB2B4F5-E5C9-49B0-94A8-FE358E29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7305675" cy="528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26</xdr:row>
      <xdr:rowOff>114300</xdr:rowOff>
    </xdr:from>
    <xdr:to>
      <xdr:col>5</xdr:col>
      <xdr:colOff>336550</xdr:colOff>
      <xdr:row>61</xdr:row>
      <xdr:rowOff>57150</xdr:rowOff>
    </xdr:to>
    <xdr:pic>
      <xdr:nvPicPr>
        <xdr:cNvPr id="4123" name="Picture 2">
          <a:extLst>
            <a:ext uri="{FF2B5EF4-FFF2-40B4-BE49-F238E27FC236}">
              <a16:creationId xmlns:a16="http://schemas.microsoft.com/office/drawing/2014/main" id="{B041328D-9403-4418-9BC3-67497619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29250"/>
          <a:ext cx="6867525" cy="644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9525</xdr:rowOff>
    </xdr:from>
    <xdr:to>
      <xdr:col>5</xdr:col>
      <xdr:colOff>571500</xdr:colOff>
      <xdr:row>82</xdr:row>
      <xdr:rowOff>85725</xdr:rowOff>
    </xdr:to>
    <xdr:pic>
      <xdr:nvPicPr>
        <xdr:cNvPr id="7196" name="Picture 3">
          <a:extLst>
            <a:ext uri="{FF2B5EF4-FFF2-40B4-BE49-F238E27FC236}">
              <a16:creationId xmlns:a16="http://schemas.microsoft.com/office/drawing/2014/main" id="{5795FA16-303B-48F6-BEB2-51B44823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7419975" cy="898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5</xdr:col>
      <xdr:colOff>546100</xdr:colOff>
      <xdr:row>82</xdr:row>
      <xdr:rowOff>76200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99841E10-68AC-4952-A663-B882068C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7419975" cy="898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6</xdr:col>
      <xdr:colOff>114300</xdr:colOff>
      <xdr:row>83</xdr:row>
      <xdr:rowOff>85725</xdr:rowOff>
    </xdr:to>
    <xdr:pic>
      <xdr:nvPicPr>
        <xdr:cNvPr id="8213" name="Picture 2">
          <a:extLst>
            <a:ext uri="{FF2B5EF4-FFF2-40B4-BE49-F238E27FC236}">
              <a16:creationId xmlns:a16="http://schemas.microsoft.com/office/drawing/2014/main" id="{3A0802AA-19B7-410B-918C-96AD1CB2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7"/>
        <a:stretch>
          <a:fillRect/>
        </a:stretch>
      </xdr:blipFill>
      <xdr:spPr bwMode="auto">
        <a:xfrm>
          <a:off x="0" y="5524500"/>
          <a:ext cx="794385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27</xdr:row>
      <xdr:rowOff>57150</xdr:rowOff>
    </xdr:from>
    <xdr:to>
      <xdr:col>6</xdr:col>
      <xdr:colOff>180975</xdr:colOff>
      <xdr:row>84</xdr:row>
      <xdr:rowOff>133350</xdr:rowOff>
    </xdr:to>
    <xdr:pic>
      <xdr:nvPicPr>
        <xdr:cNvPr id="9235" name="Picture 2">
          <a:extLst>
            <a:ext uri="{FF2B5EF4-FFF2-40B4-BE49-F238E27FC236}">
              <a16:creationId xmlns:a16="http://schemas.microsoft.com/office/drawing/2014/main" id="{EE4EE411-63E8-4B76-8467-095E6D07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0"/>
        <a:stretch>
          <a:fillRect/>
        </a:stretch>
      </xdr:blipFill>
      <xdr:spPr bwMode="auto">
        <a:xfrm>
          <a:off x="76200" y="5562600"/>
          <a:ext cx="7934325" cy="930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67"/>
  <sheetViews>
    <sheetView view="pageBreakPreview" zoomScale="90" zoomScaleNormal="75" zoomScaleSheetLayoutView="90" workbookViewId="0">
      <selection activeCell="B4" sqref="B4"/>
    </sheetView>
  </sheetViews>
  <sheetFormatPr defaultColWidth="9.1796875" defaultRowHeight="12.5" x14ac:dyDescent="0.25"/>
  <cols>
    <col min="1" max="1" width="23.453125" style="74" customWidth="1"/>
    <col min="2" max="2" width="14.7265625" style="74" customWidth="1"/>
    <col min="3" max="3" width="22.54296875" style="74" customWidth="1"/>
    <col min="4" max="4" width="16.7265625" style="74" customWidth="1"/>
    <col min="5" max="5" width="22" style="74" customWidth="1"/>
    <col min="6" max="6" width="15.7265625" style="74" customWidth="1"/>
    <col min="7" max="8" width="9.1796875" style="74" customWidth="1"/>
  </cols>
  <sheetData>
    <row r="1" spans="1:6" ht="18" x14ac:dyDescent="0.4">
      <c r="A1" s="13" t="s">
        <v>0</v>
      </c>
      <c r="B1" s="11"/>
      <c r="C1" s="10"/>
      <c r="D1" s="8"/>
      <c r="E1" s="2"/>
      <c r="F1" s="2"/>
    </row>
    <row r="2" spans="1:6" ht="13" x14ac:dyDescent="0.3">
      <c r="A2" s="10"/>
      <c r="B2" s="10"/>
      <c r="C2" s="10"/>
      <c r="D2" s="8"/>
      <c r="E2" s="2"/>
      <c r="F2" s="2"/>
    </row>
    <row r="3" spans="1:6" ht="15.5" x14ac:dyDescent="0.35">
      <c r="A3" s="18" t="s">
        <v>1</v>
      </c>
      <c r="B3" s="14">
        <f ca="1">TODAY()</f>
        <v>45575</v>
      </c>
      <c r="C3" s="19"/>
      <c r="D3" s="56"/>
      <c r="E3" s="48"/>
      <c r="F3" s="48"/>
    </row>
    <row r="4" spans="1:6" ht="15.5" x14ac:dyDescent="0.35">
      <c r="A4" s="18" t="s">
        <v>2</v>
      </c>
      <c r="B4" s="16">
        <v>3.8</v>
      </c>
      <c r="C4" s="18" t="s">
        <v>3</v>
      </c>
      <c r="D4" s="56"/>
      <c r="E4" s="48"/>
      <c r="F4" s="48"/>
    </row>
    <row r="5" spans="1:6" ht="15.5" x14ac:dyDescent="0.35">
      <c r="A5" s="19"/>
      <c r="B5" s="19"/>
      <c r="C5" s="19"/>
      <c r="D5" s="56"/>
      <c r="E5" s="48"/>
      <c r="F5" s="48"/>
    </row>
    <row r="6" spans="1:6" ht="15.5" x14ac:dyDescent="0.35">
      <c r="A6" s="20" t="s">
        <v>4</v>
      </c>
      <c r="B6" s="17"/>
      <c r="C6" s="21"/>
      <c r="D6" s="56"/>
      <c r="E6" s="48"/>
      <c r="F6" s="48"/>
    </row>
    <row r="7" spans="1:6" ht="15.5" x14ac:dyDescent="0.35">
      <c r="A7" s="48"/>
      <c r="B7" s="53"/>
      <c r="C7" s="48"/>
      <c r="D7" s="48"/>
      <c r="E7" s="48"/>
      <c r="F7" s="48"/>
    </row>
    <row r="8" spans="1:6" ht="18" x14ac:dyDescent="0.25">
      <c r="A8" s="22" t="s">
        <v>5</v>
      </c>
      <c r="B8" s="23"/>
      <c r="C8" s="24"/>
      <c r="D8" s="54"/>
      <c r="E8" s="54"/>
      <c r="F8" s="55" t="str">
        <f>IF($B$4&gt;=1,IF($B$4&gt;7.1,"Fel vikt",0.1&amp;" mg/ml"),"Fel vikt")</f>
        <v>0,1 mg/ml</v>
      </c>
    </row>
    <row r="9" spans="1:6" ht="15.5" x14ac:dyDescent="0.35">
      <c r="A9" s="50"/>
      <c r="B9" s="51"/>
      <c r="C9" s="49"/>
      <c r="D9" s="48"/>
      <c r="E9" s="48"/>
      <c r="F9" s="48"/>
    </row>
    <row r="10" spans="1:6" ht="15.5" x14ac:dyDescent="0.35">
      <c r="A10" s="25" t="s">
        <v>6</v>
      </c>
      <c r="B10" s="26"/>
      <c r="C10" s="27"/>
      <c r="D10" s="27"/>
      <c r="E10" s="62" t="s">
        <v>7</v>
      </c>
      <c r="F10" s="63" t="s">
        <v>8</v>
      </c>
    </row>
    <row r="11" spans="1:6" ht="15.5" x14ac:dyDescent="0.35">
      <c r="A11" s="32" t="s">
        <v>9</v>
      </c>
      <c r="B11" s="28"/>
      <c r="C11" s="28"/>
      <c r="D11" s="28"/>
      <c r="E11" s="29" t="s">
        <v>10</v>
      </c>
      <c r="F11" s="30" t="str">
        <f>IF($B$4&gt;=1,IF($B$4&gt;7.1,"Fel vikt",ROUND($B$4*0.05,1)&amp;" ml/tim"),"Fel vikt")</f>
        <v>0,2 ml/tim</v>
      </c>
    </row>
    <row r="12" spans="1:6" ht="15.5" x14ac:dyDescent="0.35">
      <c r="A12" s="31" t="s">
        <v>11</v>
      </c>
      <c r="B12" s="28"/>
      <c r="C12" s="28"/>
      <c r="D12" s="28"/>
      <c r="E12" s="29" t="s">
        <v>12</v>
      </c>
      <c r="F12" s="30" t="str">
        <f>IF($B$4&gt;=1,IF($B$4&gt;7.1,"Fel vikt",ROUND($B$4*0.1,1)&amp;" ml/tim"),"Fel vikt")</f>
        <v>0,4 ml/tim</v>
      </c>
    </row>
    <row r="13" spans="1:6" ht="15.5" x14ac:dyDescent="0.35">
      <c r="A13" s="32" t="s">
        <v>13</v>
      </c>
      <c r="B13" s="28"/>
      <c r="C13" s="28"/>
      <c r="D13" s="28"/>
      <c r="E13" s="29" t="s">
        <v>14</v>
      </c>
      <c r="F13" s="30" t="str">
        <f>IF($B$4&gt;=1,IF($B$4&gt;7.1,"Fel vikt",ROUND($B$4*0.2,1)&amp;" ml/tim"),"Fel vikt")</f>
        <v>0,8 ml/tim</v>
      </c>
    </row>
    <row r="14" spans="1:6" ht="15.5" x14ac:dyDescent="0.35">
      <c r="A14" s="32" t="s">
        <v>15</v>
      </c>
      <c r="B14" s="28"/>
      <c r="C14" s="28"/>
      <c r="D14" s="71" t="str">
        <f>IF($B$4&gt;=1,IF($B$4&gt;7.1,"Fel vikt",IF(ROUND($B$4*0.02,1)&lt;=1,ROUND($B$4*0.02,2)&amp;" ml",ROUND($B$4*0.02,1)&amp;" ml")),"Fel vikt")</f>
        <v>0,08 ml</v>
      </c>
      <c r="E14" s="29" t="s">
        <v>16</v>
      </c>
      <c r="F14" s="30" t="str">
        <f>IF($B$4&gt;=1,IF($B$4&gt;7.1,"Fel vikt",ROUND($B$4*0.3,1)&amp;" ml/tim"),"Fel vikt")</f>
        <v>1,1 ml/tim</v>
      </c>
    </row>
    <row r="15" spans="1:6" ht="15.5" x14ac:dyDescent="0.35">
      <c r="A15" s="31" t="s">
        <v>17</v>
      </c>
      <c r="B15" s="28"/>
      <c r="C15" s="28"/>
      <c r="D15" s="28"/>
      <c r="E15" s="29" t="s">
        <v>18</v>
      </c>
      <c r="F15" s="30" t="str">
        <f>IF($B$4&gt;=1,IF($B$4&gt;7.1,"Fel vikt",ROUND($B$4*0.4,1)&amp;" ml/tim"),"Fel vikt")</f>
        <v>1,5 ml/tim</v>
      </c>
    </row>
    <row r="16" spans="1:6" ht="22" x14ac:dyDescent="0.65">
      <c r="A16" s="36" t="s">
        <v>19</v>
      </c>
      <c r="B16" s="37"/>
      <c r="C16" s="38"/>
      <c r="D16" s="39"/>
      <c r="E16" s="33"/>
      <c r="F16" s="21"/>
    </row>
    <row r="17" spans="1:6" ht="15.5" x14ac:dyDescent="0.35">
      <c r="A17" s="52"/>
      <c r="B17" s="51"/>
      <c r="C17" s="50"/>
      <c r="D17" s="48"/>
      <c r="E17" s="48"/>
      <c r="F17" s="48"/>
    </row>
    <row r="18" spans="1:6" ht="15.5" x14ac:dyDescent="0.35">
      <c r="A18" s="25" t="s">
        <v>20</v>
      </c>
      <c r="B18" s="27"/>
      <c r="C18" s="27"/>
      <c r="D18" s="27"/>
      <c r="E18" s="27"/>
      <c r="F18" s="40"/>
    </row>
    <row r="19" spans="1:6" ht="15.5" x14ac:dyDescent="0.35">
      <c r="A19" s="41"/>
      <c r="B19" s="19"/>
      <c r="C19" s="73"/>
      <c r="D19" s="18" t="s">
        <v>21</v>
      </c>
      <c r="E19" s="19"/>
      <c r="F19" s="42" t="str">
        <f>IF($B$4&gt;=1,IF($B$4&gt;7.1,"Fel vikt",ROUND($B$4*0.005,2)&amp;" ml"),"Fel vikt")</f>
        <v>0,02 ml</v>
      </c>
    </row>
    <row r="20" spans="1:6" ht="15.5" x14ac:dyDescent="0.35">
      <c r="A20" s="32" t="s">
        <v>22</v>
      </c>
      <c r="B20" s="19"/>
      <c r="C20" s="19"/>
      <c r="D20" s="19"/>
      <c r="E20" s="19"/>
      <c r="F20" s="43"/>
    </row>
    <row r="21" spans="1:6" ht="15.5" x14ac:dyDescent="0.35">
      <c r="A21" s="32" t="s">
        <v>23</v>
      </c>
      <c r="B21" s="19"/>
      <c r="C21" s="19"/>
      <c r="D21" s="19"/>
      <c r="E21" s="19"/>
      <c r="F21" s="43"/>
    </row>
    <row r="22" spans="1:6" ht="15.5" x14ac:dyDescent="0.35">
      <c r="A22" s="44" t="s">
        <v>24</v>
      </c>
      <c r="B22" s="33"/>
      <c r="C22" s="33"/>
      <c r="D22" s="33"/>
      <c r="E22" s="33"/>
      <c r="F22" s="21"/>
    </row>
    <row r="23" spans="1:6" ht="15.5" x14ac:dyDescent="0.35">
      <c r="A23" s="49"/>
      <c r="B23" s="48"/>
      <c r="C23" s="48"/>
      <c r="D23" s="48"/>
      <c r="E23" s="48"/>
      <c r="F23" s="48"/>
    </row>
    <row r="24" spans="1:6" ht="15.5" x14ac:dyDescent="0.35">
      <c r="A24" s="25" t="s">
        <v>25</v>
      </c>
      <c r="B24" s="27"/>
      <c r="C24" s="27"/>
      <c r="D24" s="27"/>
      <c r="E24" s="27"/>
      <c r="F24" s="45" t="s">
        <v>26</v>
      </c>
    </row>
    <row r="25" spans="1:6" ht="15.5" x14ac:dyDescent="0.35">
      <c r="A25" s="32" t="s">
        <v>27</v>
      </c>
      <c r="B25" s="19"/>
      <c r="C25" s="19"/>
      <c r="D25" s="19"/>
      <c r="E25" s="19"/>
      <c r="F25" s="46"/>
    </row>
    <row r="26" spans="1:6" ht="15.5" x14ac:dyDescent="0.35">
      <c r="A26" s="44" t="s">
        <v>28</v>
      </c>
      <c r="B26" s="33"/>
      <c r="C26" s="33"/>
      <c r="D26" s="33"/>
      <c r="E26" s="33"/>
      <c r="F26" s="47" t="s">
        <v>29</v>
      </c>
    </row>
    <row r="63" spans="1:6" ht="15.5" x14ac:dyDescent="0.35">
      <c r="A63" s="84"/>
      <c r="B63" s="85"/>
      <c r="C63" s="85"/>
      <c r="D63" s="85"/>
      <c r="E63" s="85"/>
      <c r="F63" s="86"/>
    </row>
    <row r="64" spans="1:6" ht="15.5" x14ac:dyDescent="0.35">
      <c r="A64" s="65" t="s">
        <v>30</v>
      </c>
      <c r="B64" s="66"/>
      <c r="C64" s="66"/>
      <c r="D64" s="66"/>
      <c r="E64" s="66"/>
      <c r="F64" s="87"/>
    </row>
    <row r="65" spans="1:6" ht="15.5" x14ac:dyDescent="0.35">
      <c r="A65" s="65" t="s">
        <v>31</v>
      </c>
      <c r="B65" s="66"/>
      <c r="C65" s="66"/>
      <c r="D65" s="66"/>
      <c r="E65" s="66"/>
      <c r="F65" s="87"/>
    </row>
    <row r="66" spans="1:6" ht="15.5" x14ac:dyDescent="0.35">
      <c r="A66" s="67" t="s">
        <v>32</v>
      </c>
      <c r="B66" s="66"/>
      <c r="C66" s="66"/>
      <c r="D66" s="66"/>
      <c r="E66" s="66"/>
      <c r="F66" s="87"/>
    </row>
    <row r="67" spans="1:6" ht="15.5" x14ac:dyDescent="0.35">
      <c r="A67" s="68"/>
      <c r="B67" s="69"/>
      <c r="C67" s="69"/>
      <c r="D67" s="69"/>
      <c r="E67" s="69"/>
      <c r="F67" s="88"/>
    </row>
  </sheetData>
  <sheetProtection algorithmName="SHA-512" hashValue="nHPW8l/Ck0Til0Im5x0ze4IsiVmnAsjhIBVwbD1AW9gNdrQv2QDiRxwUK8ktoPxadNIpK+KGteNMBxFGCADqTQ==" saltValue="ixRfH9ZLJfJofo7RJ6FwWw==" spinCount="100000" sheet="1" objects="1" scenarios="1"/>
  <phoneticPr fontId="5" type="noConversion"/>
  <pageMargins left="0.39370078740157483" right="0.78740157480314965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73"/>
  <sheetViews>
    <sheetView view="pageBreakPreview" zoomScale="90" zoomScaleNormal="75" zoomScaleSheetLayoutView="90" workbookViewId="0">
      <selection activeCell="B5" sqref="B5"/>
    </sheetView>
  </sheetViews>
  <sheetFormatPr defaultColWidth="9.1796875" defaultRowHeight="12.5" x14ac:dyDescent="0.25"/>
  <cols>
    <col min="1" max="1" width="25.453125" style="74" customWidth="1"/>
    <col min="2" max="2" width="14.81640625" style="74" bestFit="1" customWidth="1"/>
    <col min="3" max="3" width="28.1796875" style="74" customWidth="1"/>
    <col min="4" max="4" width="18.7265625" style="74" customWidth="1"/>
    <col min="5" max="5" width="18.453125" style="74" customWidth="1"/>
    <col min="6" max="6" width="17.81640625" style="74" customWidth="1"/>
    <col min="7" max="7" width="10.54296875" style="74" customWidth="1"/>
    <col min="8" max="12" width="9.1796875" style="74" customWidth="1"/>
  </cols>
  <sheetData>
    <row r="1" spans="1:8" ht="18" x14ac:dyDescent="0.4">
      <c r="A1" s="13" t="s">
        <v>33</v>
      </c>
      <c r="B1" s="11"/>
      <c r="C1" s="10"/>
      <c r="D1" s="8"/>
      <c r="E1" s="2"/>
      <c r="F1" s="2"/>
      <c r="G1" s="2"/>
      <c r="H1" s="2"/>
    </row>
    <row r="2" spans="1:8" ht="13" x14ac:dyDescent="0.3">
      <c r="A2" s="10"/>
      <c r="B2" s="10"/>
      <c r="C2" s="10"/>
      <c r="D2" s="8"/>
      <c r="E2" s="2"/>
      <c r="F2" s="2"/>
      <c r="G2" s="2"/>
      <c r="H2" s="2"/>
    </row>
    <row r="3" spans="1:8" ht="15.5" x14ac:dyDescent="0.35">
      <c r="A3" s="18" t="s">
        <v>1</v>
      </c>
      <c r="B3" s="14">
        <f ca="1">TODAY()</f>
        <v>45575</v>
      </c>
      <c r="C3" s="19"/>
      <c r="D3" s="56"/>
      <c r="E3" s="48"/>
      <c r="F3" s="48"/>
      <c r="G3" s="2"/>
      <c r="H3" s="2"/>
    </row>
    <row r="4" spans="1:8" ht="15.5" x14ac:dyDescent="0.35">
      <c r="A4" s="18" t="s">
        <v>2</v>
      </c>
      <c r="B4" s="16">
        <v>10</v>
      </c>
      <c r="C4" s="18" t="s">
        <v>3</v>
      </c>
      <c r="D4" s="56"/>
      <c r="E4" s="48"/>
      <c r="F4" s="48"/>
      <c r="G4" s="2"/>
      <c r="H4" s="2"/>
    </row>
    <row r="5" spans="1:8" ht="15.5" x14ac:dyDescent="0.35">
      <c r="A5" s="19"/>
      <c r="B5" s="19"/>
      <c r="C5" s="19"/>
      <c r="D5" s="56"/>
      <c r="E5" s="48"/>
      <c r="F5" s="48"/>
      <c r="G5" s="2"/>
      <c r="H5" s="2"/>
    </row>
    <row r="6" spans="1:8" ht="15.5" x14ac:dyDescent="0.35">
      <c r="A6" s="20" t="s">
        <v>4</v>
      </c>
      <c r="B6" s="17"/>
      <c r="C6" s="21"/>
      <c r="D6" s="56"/>
      <c r="E6" s="48"/>
      <c r="F6" s="48"/>
      <c r="G6" s="2"/>
      <c r="H6" s="2"/>
    </row>
    <row r="7" spans="1:8" ht="15.5" x14ac:dyDescent="0.35">
      <c r="A7" s="48"/>
      <c r="B7" s="53"/>
      <c r="C7" s="48"/>
      <c r="D7" s="48"/>
      <c r="E7" s="48"/>
      <c r="F7" s="48"/>
      <c r="G7" s="2"/>
      <c r="H7" s="2"/>
    </row>
    <row r="8" spans="1:8" ht="18" x14ac:dyDescent="0.25">
      <c r="A8" s="22" t="s">
        <v>5</v>
      </c>
      <c r="B8" s="23"/>
      <c r="C8" s="24"/>
      <c r="D8" s="54"/>
      <c r="E8" s="54"/>
      <c r="F8" s="55" t="s">
        <v>34</v>
      </c>
      <c r="G8" s="3"/>
      <c r="H8" s="3"/>
    </row>
    <row r="9" spans="1:8" ht="15.5" x14ac:dyDescent="0.35">
      <c r="A9" s="50"/>
      <c r="B9" s="51"/>
      <c r="C9" s="49"/>
      <c r="D9" s="48"/>
      <c r="E9" s="48"/>
      <c r="F9" s="48"/>
      <c r="G9" s="2"/>
      <c r="H9" s="2"/>
    </row>
    <row r="10" spans="1:8" ht="15.5" x14ac:dyDescent="0.35">
      <c r="A10" s="25" t="s">
        <v>6</v>
      </c>
      <c r="B10" s="26"/>
      <c r="C10" s="27"/>
      <c r="D10" s="27"/>
      <c r="E10" s="62" t="s">
        <v>7</v>
      </c>
      <c r="F10" s="63" t="s">
        <v>8</v>
      </c>
      <c r="G10" s="2"/>
      <c r="H10" s="2"/>
    </row>
    <row r="11" spans="1:8" ht="15.5" x14ac:dyDescent="0.35">
      <c r="A11" s="32" t="s">
        <v>35</v>
      </c>
      <c r="B11" s="28"/>
      <c r="C11" s="28"/>
      <c r="D11" s="28"/>
      <c r="E11" s="29" t="s">
        <v>10</v>
      </c>
      <c r="F11" s="30" t="str">
        <f>IF($B$4&gt;=6.9,IF($B$4&gt;15.1,"Fel vikt",ROUND($B$4*0.05,1)&amp;" ml/tim"),"Fel vikt")</f>
        <v>0,5 ml/tim</v>
      </c>
      <c r="G11" s="3"/>
      <c r="H11" s="3"/>
    </row>
    <row r="12" spans="1:8" ht="15.5" x14ac:dyDescent="0.35">
      <c r="A12" s="31" t="s">
        <v>11</v>
      </c>
      <c r="B12" s="28"/>
      <c r="C12" s="28"/>
      <c r="D12" s="28"/>
      <c r="E12" s="29" t="s">
        <v>12</v>
      </c>
      <c r="F12" s="30" t="str">
        <f>IF($B$4&gt;=6.9,IF($B$4&gt;15.1,"Fel vikt",ROUND($B$4*0.1,1)&amp;" ml/tim"),"Fel vikt")</f>
        <v>1 ml/tim</v>
      </c>
      <c r="G12" s="3"/>
      <c r="H12" s="3"/>
    </row>
    <row r="13" spans="1:8" ht="15.5" x14ac:dyDescent="0.35">
      <c r="A13" s="32" t="s">
        <v>13</v>
      </c>
      <c r="B13" s="28"/>
      <c r="C13" s="28"/>
      <c r="D13" s="28"/>
      <c r="E13" s="29" t="s">
        <v>14</v>
      </c>
      <c r="F13" s="30" t="str">
        <f>IF($B$4&gt;=6.9,IF($B$4&gt;15.1,"Fel vikt",ROUND($B$4*0.2,1)&amp;" ml/tim"),"Fel vikt")</f>
        <v>2 ml/tim</v>
      </c>
      <c r="G13" s="3"/>
      <c r="H13" s="3"/>
    </row>
    <row r="14" spans="1:8" ht="15.5" x14ac:dyDescent="0.35">
      <c r="A14" s="32" t="s">
        <v>36</v>
      </c>
      <c r="B14" s="28"/>
      <c r="C14" s="28"/>
      <c r="D14" s="71" t="str">
        <f>IF($B$4&gt;=6.9,IF($B$4&gt;15.1,"Fel vikt",IF(ROUND($B$4*0.02,1)&lt;=1,ROUND($B$4*0.02,2)&amp;" ml",ROUND($B$4*0.02,1)&amp;" ml")),"Fel vikt")</f>
        <v>0,2 ml</v>
      </c>
      <c r="E14" s="29" t="s">
        <v>16</v>
      </c>
      <c r="F14" s="30" t="str">
        <f>IF($B$4&gt;=6.9,IF($B$4&gt;15.1,"Fel vikt",ROUND($B$4*0.3,1)&amp;" ml/tim"),"Fel vikt")</f>
        <v>3 ml/tim</v>
      </c>
      <c r="G14" s="3"/>
      <c r="H14" s="3"/>
    </row>
    <row r="15" spans="1:8" ht="15.5" x14ac:dyDescent="0.35">
      <c r="A15" s="31" t="s">
        <v>17</v>
      </c>
      <c r="B15" s="28"/>
      <c r="C15" s="28"/>
      <c r="D15" s="28"/>
      <c r="E15" s="29" t="s">
        <v>18</v>
      </c>
      <c r="F15" s="30" t="str">
        <f>IF($B$4&gt;=6.9,IF($B$4&gt;15.1,"Fel vikt",ROUND($B$4*0.4,1)&amp;" ml/tim"),"Fel vikt")</f>
        <v>4 ml/tim</v>
      </c>
      <c r="G15" s="3"/>
      <c r="H15" s="3"/>
    </row>
    <row r="16" spans="1:8" ht="22" x14ac:dyDescent="0.65">
      <c r="A16" s="36" t="s">
        <v>19</v>
      </c>
      <c r="B16" s="37"/>
      <c r="C16" s="38"/>
      <c r="D16" s="39"/>
      <c r="E16" s="33"/>
      <c r="F16" s="21"/>
      <c r="G16" s="2"/>
      <c r="H16" s="2"/>
    </row>
    <row r="17" spans="1:8" ht="15.5" x14ac:dyDescent="0.35">
      <c r="A17" s="52"/>
      <c r="B17" s="51"/>
      <c r="C17" s="50"/>
      <c r="D17" s="48"/>
      <c r="E17" s="48"/>
      <c r="F17" s="48"/>
      <c r="G17" s="2"/>
      <c r="H17" s="2"/>
    </row>
    <row r="18" spans="1:8" ht="15.5" x14ac:dyDescent="0.35">
      <c r="A18" s="25" t="s">
        <v>20</v>
      </c>
      <c r="B18" s="27"/>
      <c r="C18" s="27"/>
      <c r="D18" s="27"/>
      <c r="E18" s="27"/>
      <c r="F18" s="40"/>
      <c r="G18" s="2"/>
      <c r="H18" s="2"/>
    </row>
    <row r="19" spans="1:8" ht="15.5" x14ac:dyDescent="0.35">
      <c r="A19" s="41"/>
      <c r="B19" s="19"/>
      <c r="C19" s="73"/>
      <c r="D19" s="18" t="s">
        <v>37</v>
      </c>
      <c r="E19" s="19"/>
      <c r="F19" s="42" t="str">
        <f>IF($B$4&gt;=6.9,IF($B$4&gt;15.1,"Fel vikt",ROUND($B$4*0.005,2)&amp;" ml"),"Fel vikt")</f>
        <v>0,05 ml</v>
      </c>
      <c r="G19" s="2"/>
      <c r="H19" s="2"/>
    </row>
    <row r="20" spans="1:8" ht="15.5" x14ac:dyDescent="0.35">
      <c r="A20" s="32" t="s">
        <v>22</v>
      </c>
      <c r="B20" s="19"/>
      <c r="C20" s="19"/>
      <c r="D20" s="19"/>
      <c r="E20" s="19"/>
      <c r="F20" s="43"/>
      <c r="G20" s="2"/>
      <c r="H20" s="2"/>
    </row>
    <row r="21" spans="1:8" ht="15.5" x14ac:dyDescent="0.35">
      <c r="A21" s="32" t="s">
        <v>23</v>
      </c>
      <c r="B21" s="19"/>
      <c r="C21" s="19"/>
      <c r="D21" s="19"/>
      <c r="E21" s="19"/>
      <c r="F21" s="43"/>
      <c r="G21" s="2"/>
      <c r="H21" s="2"/>
    </row>
    <row r="22" spans="1:8" ht="15.5" x14ac:dyDescent="0.35">
      <c r="A22" s="44" t="s">
        <v>24</v>
      </c>
      <c r="B22" s="33"/>
      <c r="C22" s="33"/>
      <c r="D22" s="33"/>
      <c r="E22" s="33"/>
      <c r="F22" s="21"/>
      <c r="G22" s="2"/>
      <c r="H22" s="2"/>
    </row>
    <row r="23" spans="1:8" ht="15.5" x14ac:dyDescent="0.35">
      <c r="A23" s="49"/>
      <c r="B23" s="48"/>
      <c r="C23" s="48"/>
      <c r="D23" s="48"/>
      <c r="E23" s="48"/>
      <c r="F23" s="48"/>
      <c r="G23" s="2"/>
      <c r="H23" s="2"/>
    </row>
    <row r="24" spans="1:8" ht="15.5" x14ac:dyDescent="0.35">
      <c r="A24" s="25" t="s">
        <v>25</v>
      </c>
      <c r="B24" s="27"/>
      <c r="C24" s="27"/>
      <c r="D24" s="27"/>
      <c r="E24" s="27"/>
      <c r="F24" s="45" t="s">
        <v>38</v>
      </c>
      <c r="G24" s="2"/>
      <c r="H24" s="2"/>
    </row>
    <row r="25" spans="1:8" ht="15.5" x14ac:dyDescent="0.35">
      <c r="A25" s="32" t="s">
        <v>27</v>
      </c>
      <c r="B25" s="19"/>
      <c r="C25" s="19"/>
      <c r="D25" s="19"/>
      <c r="E25" s="19"/>
      <c r="F25" s="46"/>
      <c r="G25" s="2"/>
      <c r="H25" s="2"/>
    </row>
    <row r="26" spans="1:8" ht="15.5" x14ac:dyDescent="0.35">
      <c r="A26" s="44" t="s">
        <v>28</v>
      </c>
      <c r="B26" s="33"/>
      <c r="C26" s="33"/>
      <c r="D26" s="33"/>
      <c r="E26" s="33"/>
      <c r="F26" s="47" t="s">
        <v>29</v>
      </c>
      <c r="G26" s="2"/>
      <c r="H26" s="2"/>
    </row>
    <row r="27" spans="1:8" ht="15.5" x14ac:dyDescent="0.35">
      <c r="A27" s="48"/>
      <c r="B27" s="48"/>
      <c r="C27" s="48"/>
      <c r="D27" s="48"/>
      <c r="E27" s="48"/>
      <c r="F27" s="48"/>
      <c r="G27" s="2"/>
      <c r="H27" s="2"/>
    </row>
    <row r="28" spans="1:8" ht="15.5" x14ac:dyDescent="0.35">
      <c r="A28" s="48"/>
      <c r="B28" s="48"/>
      <c r="C28" s="48"/>
      <c r="D28" s="48"/>
      <c r="E28" s="48"/>
      <c r="F28" s="48"/>
    </row>
    <row r="29" spans="1:8" ht="15.5" x14ac:dyDescent="0.35">
      <c r="A29" s="48"/>
      <c r="B29" s="48"/>
      <c r="C29" s="48"/>
      <c r="D29" s="48"/>
      <c r="E29" s="48"/>
      <c r="F29" s="48"/>
    </row>
    <row r="30" spans="1:8" ht="15.5" x14ac:dyDescent="0.35">
      <c r="A30" s="48"/>
      <c r="B30" s="48"/>
      <c r="C30" s="48"/>
      <c r="D30" s="48"/>
      <c r="E30" s="48"/>
      <c r="F30" s="48"/>
    </row>
    <row r="31" spans="1:8" ht="15.5" x14ac:dyDescent="0.35">
      <c r="A31" s="48"/>
      <c r="B31" s="48"/>
      <c r="C31" s="48"/>
      <c r="D31" s="48"/>
      <c r="E31" s="48"/>
      <c r="F31" s="48"/>
    </row>
    <row r="32" spans="1:8" ht="15.5" x14ac:dyDescent="0.35">
      <c r="A32" s="48"/>
      <c r="B32" s="48"/>
      <c r="C32" s="48"/>
      <c r="D32" s="48"/>
      <c r="E32" s="48"/>
      <c r="F32" s="48"/>
    </row>
    <row r="33" spans="1:6" ht="15.5" x14ac:dyDescent="0.35">
      <c r="A33" s="48"/>
      <c r="B33" s="48"/>
      <c r="C33" s="48"/>
      <c r="D33" s="48"/>
      <c r="E33" s="48"/>
      <c r="F33" s="48"/>
    </row>
    <row r="34" spans="1:6" ht="15.5" x14ac:dyDescent="0.35">
      <c r="A34" s="48"/>
      <c r="B34" s="48"/>
      <c r="C34" s="48"/>
      <c r="D34" s="48"/>
      <c r="E34" s="48"/>
      <c r="F34" s="48"/>
    </row>
    <row r="35" spans="1:6" ht="15.5" x14ac:dyDescent="0.35">
      <c r="A35" s="48"/>
      <c r="B35" s="48"/>
      <c r="C35" s="48"/>
      <c r="D35" s="48"/>
      <c r="E35" s="48"/>
      <c r="F35" s="48"/>
    </row>
    <row r="36" spans="1:6" ht="15.5" x14ac:dyDescent="0.35">
      <c r="A36" s="48"/>
      <c r="B36" s="48"/>
      <c r="C36" s="48"/>
      <c r="D36" s="48"/>
      <c r="E36" s="48"/>
      <c r="F36" s="48"/>
    </row>
    <row r="37" spans="1:6" ht="15.5" x14ac:dyDescent="0.35">
      <c r="A37" s="48"/>
      <c r="B37" s="48"/>
      <c r="C37" s="48"/>
      <c r="D37" s="48"/>
      <c r="E37" s="48"/>
      <c r="F37" s="48"/>
    </row>
    <row r="38" spans="1:6" ht="15.5" x14ac:dyDescent="0.35">
      <c r="A38" s="48"/>
      <c r="B38" s="48"/>
      <c r="C38" s="48"/>
      <c r="D38" s="48"/>
      <c r="E38" s="48"/>
      <c r="F38" s="48"/>
    </row>
    <row r="39" spans="1:6" ht="15.5" x14ac:dyDescent="0.35">
      <c r="A39" s="48"/>
      <c r="B39" s="48"/>
      <c r="C39" s="48"/>
      <c r="D39" s="48"/>
      <c r="E39" s="48"/>
      <c r="F39" s="48"/>
    </row>
    <row r="40" spans="1:6" ht="15.5" x14ac:dyDescent="0.35">
      <c r="A40" s="48"/>
      <c r="B40" s="48"/>
      <c r="C40" s="48"/>
      <c r="D40" s="48"/>
      <c r="E40" s="48"/>
      <c r="F40" s="48"/>
    </row>
    <row r="41" spans="1:6" ht="15.5" x14ac:dyDescent="0.35">
      <c r="A41" s="48"/>
      <c r="B41" s="48"/>
      <c r="C41" s="48"/>
      <c r="D41" s="48"/>
      <c r="E41" s="48"/>
      <c r="F41" s="48"/>
    </row>
    <row r="42" spans="1:6" ht="15.5" x14ac:dyDescent="0.35">
      <c r="A42" s="48"/>
      <c r="B42" s="48"/>
      <c r="C42" s="48"/>
      <c r="D42" s="48"/>
      <c r="E42" s="48"/>
      <c r="F42" s="48"/>
    </row>
    <row r="43" spans="1:6" ht="15.5" x14ac:dyDescent="0.35">
      <c r="A43" s="48"/>
      <c r="B43" s="48"/>
      <c r="C43" s="48"/>
      <c r="D43" s="48"/>
      <c r="E43" s="48"/>
      <c r="F43" s="48"/>
    </row>
    <row r="44" spans="1:6" ht="15.5" x14ac:dyDescent="0.35">
      <c r="A44" s="48"/>
      <c r="B44" s="48"/>
      <c r="C44" s="48"/>
      <c r="D44" s="48"/>
      <c r="E44" s="48"/>
      <c r="F44" s="48"/>
    </row>
    <row r="45" spans="1:6" ht="15.5" x14ac:dyDescent="0.35">
      <c r="A45" s="48"/>
      <c r="B45" s="48"/>
      <c r="C45" s="48"/>
      <c r="D45" s="48"/>
      <c r="E45" s="48"/>
      <c r="F45" s="48"/>
    </row>
    <row r="46" spans="1:6" ht="15.5" x14ac:dyDescent="0.35">
      <c r="A46" s="48"/>
      <c r="B46" s="48"/>
      <c r="C46" s="48"/>
      <c r="D46" s="48"/>
      <c r="E46" s="48"/>
      <c r="F46" s="48"/>
    </row>
    <row r="47" spans="1:6" ht="15.5" x14ac:dyDescent="0.35">
      <c r="A47" s="48"/>
      <c r="B47" s="48"/>
      <c r="C47" s="48"/>
      <c r="D47" s="48"/>
      <c r="E47" s="48"/>
      <c r="F47" s="48"/>
    </row>
    <row r="48" spans="1:6" ht="15.5" x14ac:dyDescent="0.35">
      <c r="A48" s="48"/>
      <c r="B48" s="48"/>
      <c r="C48" s="48"/>
      <c r="D48" s="48"/>
      <c r="E48" s="48"/>
      <c r="F48" s="48"/>
    </row>
    <row r="49" spans="1:6" ht="15.5" x14ac:dyDescent="0.35">
      <c r="A49" s="48"/>
      <c r="B49" s="48"/>
      <c r="C49" s="48"/>
      <c r="D49" s="48"/>
      <c r="E49" s="48"/>
      <c r="F49" s="48"/>
    </row>
    <row r="50" spans="1:6" ht="15.5" x14ac:dyDescent="0.35">
      <c r="A50" s="48"/>
      <c r="B50" s="48"/>
      <c r="C50" s="48"/>
      <c r="D50" s="48"/>
      <c r="E50" s="48"/>
      <c r="F50" s="48"/>
    </row>
    <row r="51" spans="1:6" ht="15.5" x14ac:dyDescent="0.35">
      <c r="A51" s="48"/>
      <c r="B51" s="48"/>
      <c r="C51" s="48"/>
      <c r="D51" s="48"/>
      <c r="E51" s="48"/>
      <c r="F51" s="48"/>
    </row>
    <row r="52" spans="1:6" ht="15.5" x14ac:dyDescent="0.35">
      <c r="A52" s="48"/>
      <c r="B52" s="48"/>
      <c r="C52" s="48"/>
      <c r="D52" s="48"/>
      <c r="E52" s="48"/>
      <c r="F52" s="48"/>
    </row>
    <row r="53" spans="1:6" ht="15.5" x14ac:dyDescent="0.35">
      <c r="A53" s="48"/>
      <c r="B53" s="48"/>
      <c r="C53" s="48"/>
      <c r="D53" s="48"/>
      <c r="E53" s="48"/>
      <c r="F53" s="48"/>
    </row>
    <row r="54" spans="1:6" ht="15.5" x14ac:dyDescent="0.35">
      <c r="A54" s="48"/>
      <c r="B54" s="48"/>
      <c r="C54" s="48"/>
      <c r="D54" s="48"/>
      <c r="E54" s="48"/>
      <c r="F54" s="48"/>
    </row>
    <row r="55" spans="1:6" ht="15.5" x14ac:dyDescent="0.35">
      <c r="A55" s="48"/>
      <c r="B55" s="48"/>
      <c r="C55" s="48"/>
      <c r="D55" s="48"/>
      <c r="E55" s="48"/>
      <c r="F55" s="48"/>
    </row>
    <row r="63" spans="1:6" ht="15.5" x14ac:dyDescent="0.35">
      <c r="F63" s="48"/>
    </row>
    <row r="68" spans="1:6" ht="15.5" x14ac:dyDescent="0.35">
      <c r="A68" s="48"/>
      <c r="B68" s="48"/>
      <c r="C68" s="48"/>
      <c r="D68" s="48"/>
      <c r="E68" s="48"/>
      <c r="F68" s="48"/>
    </row>
    <row r="69" spans="1:6" ht="15.5" hidden="1" x14ac:dyDescent="0.35">
      <c r="A69" s="60"/>
      <c r="B69" s="61"/>
      <c r="C69" s="61"/>
      <c r="D69" s="61"/>
      <c r="E69" s="61"/>
      <c r="F69" s="81"/>
    </row>
    <row r="71" spans="1:6" ht="15.5" x14ac:dyDescent="0.35">
      <c r="A71" s="60" t="s">
        <v>30</v>
      </c>
      <c r="B71" s="61"/>
      <c r="C71" s="61"/>
      <c r="D71" s="61"/>
      <c r="E71" s="61"/>
      <c r="F71" s="81"/>
    </row>
    <row r="72" spans="1:6" ht="15.5" x14ac:dyDescent="0.35">
      <c r="A72" s="58" t="s">
        <v>31</v>
      </c>
      <c r="B72" s="57"/>
      <c r="C72" s="57"/>
      <c r="D72" s="57"/>
      <c r="E72" s="57"/>
      <c r="F72" s="82"/>
    </row>
    <row r="73" spans="1:6" ht="15.5" x14ac:dyDescent="0.35">
      <c r="A73" s="70" t="s">
        <v>32</v>
      </c>
      <c r="B73" s="59"/>
      <c r="C73" s="59"/>
      <c r="D73" s="59"/>
      <c r="E73" s="59"/>
      <c r="F73" s="83"/>
    </row>
  </sheetData>
  <phoneticPr fontId="5" type="noConversion"/>
  <pageMargins left="0.39370078740157483" right="0.78740157480314965" top="0.39370078740157483" bottom="0.39370078740157483" header="0.51181102362204722" footer="0.51181102362204722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88"/>
  <sheetViews>
    <sheetView view="pageBreakPreview" zoomScale="60" zoomScaleNormal="75" workbookViewId="0">
      <selection activeCell="B4" sqref="B4"/>
    </sheetView>
  </sheetViews>
  <sheetFormatPr defaultColWidth="9.1796875" defaultRowHeight="12.5" x14ac:dyDescent="0.25"/>
  <cols>
    <col min="1" max="1" width="23.81640625" style="74" customWidth="1"/>
    <col min="2" max="2" width="16.54296875" style="74" customWidth="1"/>
    <col min="3" max="3" width="20.453125" style="74" customWidth="1"/>
    <col min="4" max="4" width="18" style="74" customWidth="1"/>
    <col min="5" max="5" width="23.81640625" style="74" customWidth="1"/>
    <col min="6" max="6" width="15.453125" style="74" customWidth="1"/>
    <col min="7" max="15" width="9.1796875" style="74" customWidth="1"/>
  </cols>
  <sheetData>
    <row r="1" spans="1:6" ht="18" x14ac:dyDescent="0.4">
      <c r="A1" s="13" t="s">
        <v>39</v>
      </c>
      <c r="B1" s="11"/>
      <c r="C1" s="10"/>
      <c r="D1" s="8"/>
      <c r="E1" s="2"/>
      <c r="F1" s="2"/>
    </row>
    <row r="2" spans="1:6" ht="13" x14ac:dyDescent="0.3">
      <c r="A2" s="10"/>
      <c r="B2" s="10"/>
      <c r="C2" s="10"/>
      <c r="D2" s="8"/>
      <c r="E2" s="2"/>
      <c r="F2" s="2"/>
    </row>
    <row r="3" spans="1:6" ht="15.5" x14ac:dyDescent="0.35">
      <c r="A3" s="18" t="s">
        <v>1</v>
      </c>
      <c r="B3" s="14">
        <f ca="1">TODAY()</f>
        <v>45575</v>
      </c>
      <c r="C3" s="19"/>
      <c r="D3" s="8"/>
      <c r="E3" s="2"/>
      <c r="F3" s="2"/>
    </row>
    <row r="4" spans="1:6" ht="15.5" x14ac:dyDescent="0.35">
      <c r="A4" s="18" t="s">
        <v>2</v>
      </c>
      <c r="B4" s="16">
        <v>17</v>
      </c>
      <c r="C4" s="18" t="s">
        <v>3</v>
      </c>
      <c r="D4" s="8"/>
      <c r="E4" s="2"/>
      <c r="F4" s="2"/>
    </row>
    <row r="5" spans="1:6" ht="15.5" x14ac:dyDescent="0.35">
      <c r="A5" s="19"/>
      <c r="B5" s="19"/>
      <c r="C5" s="19"/>
      <c r="D5" s="8"/>
      <c r="E5" s="2"/>
      <c r="F5" s="2"/>
    </row>
    <row r="6" spans="1:6" ht="15.5" x14ac:dyDescent="0.35">
      <c r="A6" s="20" t="s">
        <v>4</v>
      </c>
      <c r="B6" s="17"/>
      <c r="C6" s="21"/>
      <c r="D6" s="8"/>
      <c r="E6" s="2"/>
      <c r="F6" s="2"/>
    </row>
    <row r="7" spans="1:6" ht="15.5" x14ac:dyDescent="0.35">
      <c r="A7" s="2"/>
      <c r="B7" s="9"/>
      <c r="C7" s="2"/>
      <c r="D7" s="2"/>
      <c r="E7" s="2"/>
      <c r="F7" s="2"/>
    </row>
    <row r="8" spans="1:6" ht="18" x14ac:dyDescent="0.25">
      <c r="A8" s="22" t="s">
        <v>5</v>
      </c>
      <c r="B8" s="23"/>
      <c r="C8" s="24"/>
      <c r="D8" s="12"/>
      <c r="E8" s="12"/>
      <c r="F8" s="64" t="s">
        <v>40</v>
      </c>
    </row>
    <row r="9" spans="1:6" ht="15.5" x14ac:dyDescent="0.35">
      <c r="A9" s="7"/>
      <c r="B9" s="6"/>
      <c r="C9" s="4"/>
      <c r="D9" s="1"/>
      <c r="E9" s="1"/>
      <c r="F9" s="1"/>
    </row>
    <row r="10" spans="1:6" ht="15.5" x14ac:dyDescent="0.35">
      <c r="A10" s="25" t="s">
        <v>6</v>
      </c>
      <c r="B10" s="26"/>
      <c r="C10" s="27"/>
      <c r="D10" s="27"/>
      <c r="E10" s="62" t="s">
        <v>41</v>
      </c>
      <c r="F10" s="63" t="s">
        <v>8</v>
      </c>
    </row>
    <row r="11" spans="1:6" ht="15.5" x14ac:dyDescent="0.35">
      <c r="A11" s="32" t="s">
        <v>42</v>
      </c>
      <c r="B11" s="28"/>
      <c r="C11" s="28"/>
      <c r="D11" s="28"/>
      <c r="E11" s="29" t="s">
        <v>10</v>
      </c>
      <c r="F11" s="30" t="str">
        <f>IF($B$4&gt;=15,IF($B$4&gt;100,"Fel vikt",ROUND($B$4*0.005,1)&amp;" ml/tim"),"Fel vikt")</f>
        <v>0,1 ml/tim</v>
      </c>
    </row>
    <row r="12" spans="1:6" ht="15.5" x14ac:dyDescent="0.35">
      <c r="A12" s="31" t="s">
        <v>43</v>
      </c>
      <c r="B12" s="28"/>
      <c r="C12" s="28"/>
      <c r="D12" s="28"/>
      <c r="E12" s="29" t="s">
        <v>12</v>
      </c>
      <c r="F12" s="30" t="str">
        <f>IF($B$4&gt;=15,IF($B$4&gt;100,"Fel vikt",ROUND($B$4*0.01,1)&amp;" ml/tim"),"Fel vikt")</f>
        <v>0,2 ml/tim</v>
      </c>
    </row>
    <row r="13" spans="1:6" ht="15.5" x14ac:dyDescent="0.35">
      <c r="A13" s="32" t="s">
        <v>13</v>
      </c>
      <c r="B13" s="28"/>
      <c r="C13" s="28"/>
      <c r="D13" s="28"/>
      <c r="E13" s="29" t="s">
        <v>14</v>
      </c>
      <c r="F13" s="30" t="str">
        <f>IF($B$4&gt;=15,IF($B$4&gt;100,"Fel vikt",ROUND($B$4*0.02,1)&amp;" ml/tim"),"Fel vikt")</f>
        <v>0,3 ml/tim</v>
      </c>
    </row>
    <row r="14" spans="1:6" ht="15.5" x14ac:dyDescent="0.35">
      <c r="A14" s="32" t="s">
        <v>36</v>
      </c>
      <c r="B14" s="28"/>
      <c r="C14" s="28"/>
      <c r="D14" s="71" t="str">
        <f>IF($B$4&gt;=15,IF($B$4&gt;100,"Fel vikt",IF(ROUND($B$4*0.02,1)&lt;=1,ROUND($B$4*0.02,2)&amp;" ml",ROUND($B$4*0.02,1)&amp;" ml")),"Fel vikt")</f>
        <v>0,34 ml</v>
      </c>
      <c r="E14" s="29" t="s">
        <v>16</v>
      </c>
      <c r="F14" s="30" t="str">
        <f>IF($B$4&gt;=15,IF($B$4&gt;100,"Fel vikt",ROUND($B$4*0.03,1)&amp;" ml/tim"),"Fel vikt")</f>
        <v>0,5 ml/tim</v>
      </c>
    </row>
    <row r="15" spans="1:6" ht="15.5" x14ac:dyDescent="0.35">
      <c r="A15" s="31" t="s">
        <v>17</v>
      </c>
      <c r="B15" s="28"/>
      <c r="C15" s="28"/>
      <c r="D15" s="28"/>
      <c r="E15" s="29" t="s">
        <v>18</v>
      </c>
      <c r="F15" s="30" t="str">
        <f>IF($B$4&gt;=15,IF($B$4&gt;100,"Fel vikt",ROUND($B$4*0.04,1)&amp;" ml/tim"),"Fel vikt")</f>
        <v>0,7 ml/tim</v>
      </c>
    </row>
    <row r="16" spans="1:6" ht="22" x14ac:dyDescent="0.65">
      <c r="A16" s="36" t="s">
        <v>19</v>
      </c>
      <c r="B16" s="37"/>
      <c r="C16" s="38"/>
      <c r="D16" s="39"/>
      <c r="E16" s="34"/>
      <c r="F16" s="35"/>
    </row>
    <row r="17" spans="1:6" ht="15.5" x14ac:dyDescent="0.35">
      <c r="A17" s="5"/>
      <c r="B17" s="6"/>
      <c r="C17" s="7"/>
      <c r="D17" s="1"/>
      <c r="E17" s="1"/>
      <c r="F17" s="1"/>
    </row>
    <row r="18" spans="1:6" ht="15.5" x14ac:dyDescent="0.35">
      <c r="A18" s="25" t="s">
        <v>20</v>
      </c>
      <c r="B18" s="27"/>
      <c r="C18" s="27"/>
      <c r="D18" s="27"/>
      <c r="E18" s="27"/>
      <c r="F18" s="40"/>
    </row>
    <row r="19" spans="1:6" ht="15.5" x14ac:dyDescent="0.35">
      <c r="A19" s="41"/>
      <c r="B19" s="15"/>
      <c r="C19" s="73"/>
      <c r="D19" s="72" t="s">
        <v>44</v>
      </c>
      <c r="E19" s="15"/>
      <c r="F19" s="42" t="str">
        <f>IF($B$4&gt;=15,IF($B$4&gt;100,"Fel vikt",ROUND($B$4*0.005,2)&amp;" ml"),"Fel vikt")</f>
        <v>0,09 ml</v>
      </c>
    </row>
    <row r="20" spans="1:6" ht="15.5" x14ac:dyDescent="0.35">
      <c r="A20" s="32" t="s">
        <v>22</v>
      </c>
      <c r="B20" s="19"/>
      <c r="C20" s="19"/>
      <c r="D20" s="19"/>
      <c r="E20" s="19"/>
      <c r="F20" s="43"/>
    </row>
    <row r="21" spans="1:6" ht="15.5" x14ac:dyDescent="0.35">
      <c r="A21" s="32" t="s">
        <v>23</v>
      </c>
      <c r="B21" s="19"/>
      <c r="C21" s="19"/>
      <c r="D21" s="19"/>
      <c r="E21" s="19"/>
      <c r="F21" s="43"/>
    </row>
    <row r="22" spans="1:6" ht="15.5" x14ac:dyDescent="0.35">
      <c r="A22" s="44" t="s">
        <v>24</v>
      </c>
      <c r="B22" s="33"/>
      <c r="C22" s="33"/>
      <c r="D22" s="33"/>
      <c r="E22" s="33"/>
      <c r="F22" s="21"/>
    </row>
    <row r="23" spans="1:6" ht="15.5" x14ac:dyDescent="0.35">
      <c r="A23" s="4"/>
      <c r="B23" s="1"/>
      <c r="C23" s="1"/>
      <c r="D23" s="1"/>
      <c r="E23" s="1"/>
      <c r="F23" s="1"/>
    </row>
    <row r="24" spans="1:6" ht="15.5" x14ac:dyDescent="0.35">
      <c r="A24" s="25" t="s">
        <v>25</v>
      </c>
      <c r="B24" s="27"/>
      <c r="C24" s="27"/>
      <c r="D24" s="27"/>
      <c r="E24" s="27"/>
      <c r="F24" s="45" t="s">
        <v>38</v>
      </c>
    </row>
    <row r="25" spans="1:6" ht="15.5" x14ac:dyDescent="0.35">
      <c r="A25" s="32" t="s">
        <v>27</v>
      </c>
      <c r="B25" s="19"/>
      <c r="C25" s="19"/>
      <c r="D25" s="19"/>
      <c r="E25" s="19"/>
      <c r="F25" s="46"/>
    </row>
    <row r="26" spans="1:6" ht="15.5" x14ac:dyDescent="0.35">
      <c r="A26" s="44" t="s">
        <v>28</v>
      </c>
      <c r="B26" s="33"/>
      <c r="C26" s="33"/>
      <c r="D26" s="33"/>
      <c r="E26" s="33"/>
      <c r="F26" s="47" t="s">
        <v>29</v>
      </c>
    </row>
    <row r="86" spans="1:6" ht="15.5" x14ac:dyDescent="0.35">
      <c r="A86" s="60" t="s">
        <v>30</v>
      </c>
      <c r="B86" s="61"/>
      <c r="C86" s="61"/>
      <c r="D86" s="61"/>
      <c r="E86" s="75"/>
      <c r="F86" s="76"/>
    </row>
    <row r="87" spans="1:6" ht="15.5" x14ac:dyDescent="0.35">
      <c r="A87" s="58" t="s">
        <v>31</v>
      </c>
      <c r="B87" s="57"/>
      <c r="C87" s="57"/>
      <c r="D87" s="57"/>
      <c r="E87" s="77"/>
      <c r="F87" s="78"/>
    </row>
    <row r="88" spans="1:6" ht="15.5" x14ac:dyDescent="0.35">
      <c r="A88" s="70" t="s">
        <v>32</v>
      </c>
      <c r="B88" s="59"/>
      <c r="C88" s="59"/>
      <c r="D88" s="59"/>
      <c r="E88" s="79"/>
      <c r="F88" s="80"/>
    </row>
  </sheetData>
  <sheetProtection algorithmName="SHA-512" hashValue="v2U04PdsBFsf0kS/ZqVGn5a6RJ6Xi+1GqAdHUCMM5GP4xqyyoV/K7LQOQM9S16mnDfV4lyZowzbGmuljPjWJ4Q==" saltValue="uDzfvqkinBsa35WcDDvZYQ==" spinCount="100000" sheet="1" objects="1" scenarios="1"/>
  <phoneticPr fontId="5" type="noConversion"/>
  <pageMargins left="0.39370078740157483" right="0.78740157480314965" top="0.39370078740157483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88"/>
  <sheetViews>
    <sheetView view="pageBreakPreview" zoomScale="90" zoomScaleNormal="75" zoomScaleSheetLayoutView="90" workbookViewId="0">
      <selection activeCell="B4" sqref="B4"/>
    </sheetView>
  </sheetViews>
  <sheetFormatPr defaultColWidth="9.1796875" defaultRowHeight="12.5" x14ac:dyDescent="0.25"/>
  <cols>
    <col min="1" max="1" width="25.453125" style="74" customWidth="1"/>
    <col min="2" max="2" width="13.453125" style="74" customWidth="1"/>
    <col min="3" max="3" width="23.81640625" style="74" customWidth="1"/>
    <col min="4" max="4" width="22.26953125" style="74" customWidth="1"/>
    <col min="5" max="5" width="18.1796875" style="74" customWidth="1"/>
    <col min="6" max="6" width="16" style="74" customWidth="1"/>
    <col min="7" max="7" width="10.54296875" style="74" customWidth="1"/>
    <col min="8" max="10" width="9.1796875" style="74" customWidth="1"/>
  </cols>
  <sheetData>
    <row r="1" spans="1:12" ht="18" x14ac:dyDescent="0.4">
      <c r="A1" s="13" t="s">
        <v>45</v>
      </c>
      <c r="B1" s="11"/>
      <c r="C1" s="10"/>
      <c r="D1" s="8"/>
      <c r="E1" s="2"/>
      <c r="F1" s="2"/>
      <c r="G1" s="2"/>
      <c r="H1" s="2"/>
    </row>
    <row r="2" spans="1:12" ht="13" x14ac:dyDescent="0.3">
      <c r="A2" s="10"/>
      <c r="B2" s="10"/>
      <c r="C2" s="10"/>
      <c r="D2" s="8"/>
      <c r="E2" s="2"/>
      <c r="F2" s="2"/>
      <c r="G2" s="2"/>
      <c r="H2" s="2"/>
    </row>
    <row r="3" spans="1:12" ht="15.5" x14ac:dyDescent="0.35">
      <c r="A3" s="18" t="s">
        <v>1</v>
      </c>
      <c r="B3" s="14">
        <f ca="1">TODAY()</f>
        <v>45575</v>
      </c>
      <c r="C3" s="19"/>
      <c r="D3" s="8"/>
      <c r="E3" s="2"/>
      <c r="F3" s="2"/>
      <c r="G3" s="2"/>
      <c r="H3" s="2"/>
    </row>
    <row r="4" spans="1:12" ht="15.5" x14ac:dyDescent="0.35">
      <c r="A4" s="18" t="s">
        <v>2</v>
      </c>
      <c r="B4" s="16">
        <v>33</v>
      </c>
      <c r="C4" s="18" t="s">
        <v>3</v>
      </c>
      <c r="D4" s="8"/>
      <c r="E4" s="2"/>
      <c r="F4" s="2"/>
      <c r="G4" s="2"/>
      <c r="H4" s="2"/>
    </row>
    <row r="5" spans="1:12" ht="15.5" x14ac:dyDescent="0.35">
      <c r="A5" s="19"/>
      <c r="B5" s="19"/>
      <c r="C5" s="19"/>
      <c r="D5" s="8"/>
      <c r="E5" s="2"/>
      <c r="F5" s="2"/>
      <c r="G5" s="2"/>
      <c r="H5" s="2"/>
    </row>
    <row r="6" spans="1:12" ht="15.5" x14ac:dyDescent="0.35">
      <c r="A6" s="20" t="s">
        <v>4</v>
      </c>
      <c r="B6" s="17"/>
      <c r="C6" s="21"/>
      <c r="D6" s="8"/>
      <c r="E6" s="2"/>
      <c r="F6" s="2"/>
      <c r="G6" s="2"/>
      <c r="H6" s="2"/>
    </row>
    <row r="7" spans="1:12" ht="15.5" x14ac:dyDescent="0.35">
      <c r="A7" s="2"/>
      <c r="B7" s="9"/>
      <c r="C7" s="2"/>
      <c r="D7" s="2"/>
      <c r="E7" s="2"/>
      <c r="F7" s="2"/>
      <c r="G7" s="2"/>
      <c r="H7" s="2"/>
    </row>
    <row r="8" spans="1:12" ht="18" x14ac:dyDescent="0.25">
      <c r="A8" s="22" t="s">
        <v>5</v>
      </c>
      <c r="B8" s="23"/>
      <c r="C8" s="24"/>
      <c r="D8" s="12"/>
      <c r="E8" s="12"/>
      <c r="F8" s="64" t="str">
        <f>IF($B$4&gt;=15,IF($B$4&gt;100,"Fel vikt",1&amp;" mg/ml"),"Fel vikt")</f>
        <v>1 mg/ml</v>
      </c>
      <c r="G8" s="3"/>
      <c r="H8" s="3"/>
    </row>
    <row r="9" spans="1:12" ht="15.5" x14ac:dyDescent="0.35">
      <c r="A9" s="7"/>
      <c r="B9" s="6"/>
      <c r="C9" s="4"/>
      <c r="D9" s="1"/>
      <c r="E9" s="1"/>
      <c r="F9" s="1"/>
      <c r="G9" s="2"/>
      <c r="H9" s="2"/>
    </row>
    <row r="10" spans="1:12" ht="15.5" x14ac:dyDescent="0.35">
      <c r="A10" s="25" t="s">
        <v>6</v>
      </c>
      <c r="B10" s="26"/>
      <c r="C10" s="27"/>
      <c r="D10" s="27"/>
      <c r="E10" s="62" t="s">
        <v>41</v>
      </c>
      <c r="F10" s="63" t="s">
        <v>8</v>
      </c>
      <c r="G10" s="2"/>
      <c r="H10" s="2"/>
    </row>
    <row r="11" spans="1:12" ht="15.5" x14ac:dyDescent="0.35">
      <c r="A11" s="32" t="s">
        <v>46</v>
      </c>
      <c r="B11" s="28"/>
      <c r="C11" s="28"/>
      <c r="D11" s="28"/>
      <c r="E11" s="29" t="s">
        <v>10</v>
      </c>
      <c r="F11" s="30" t="str">
        <f>IF($B$4&gt;=15,IF($B$4&gt;100,"Fel vikt",ROUND($B$4*0.005,1)&amp;" ml/tim"),"Fel vikt")</f>
        <v>0,2 ml/tim</v>
      </c>
      <c r="G11" s="3"/>
      <c r="H11" s="3"/>
    </row>
    <row r="12" spans="1:12" ht="15.5" x14ac:dyDescent="0.35">
      <c r="A12" s="31" t="s">
        <v>43</v>
      </c>
      <c r="B12" s="28"/>
      <c r="C12" s="28"/>
      <c r="D12" s="28"/>
      <c r="E12" s="29" t="s">
        <v>12</v>
      </c>
      <c r="F12" s="30" t="str">
        <f>IF($B$4&gt;=15,IF($B$4&gt;100,"Fel vikt",ROUND($B$4*0.01,1)&amp;" ml/tim"),"Fel vikt")</f>
        <v>0,3 ml/tim</v>
      </c>
      <c r="G12" s="3"/>
      <c r="H12" s="3"/>
    </row>
    <row r="13" spans="1:12" ht="15.5" x14ac:dyDescent="0.35">
      <c r="A13" s="32" t="s">
        <v>13</v>
      </c>
      <c r="B13" s="28"/>
      <c r="C13" s="28"/>
      <c r="D13" s="28"/>
      <c r="E13" s="29" t="s">
        <v>14</v>
      </c>
      <c r="F13" s="30" t="str">
        <f>IF($B$4&gt;=15,IF($B$4&gt;100,"Fel vikt",ROUND($B$4*0.02,1)&amp;" ml/tim"),"Fel vikt")</f>
        <v>0,7 ml/tim</v>
      </c>
      <c r="G13" s="3"/>
      <c r="H13" s="3"/>
    </row>
    <row r="14" spans="1:12" ht="15.5" x14ac:dyDescent="0.35">
      <c r="A14" s="32" t="s">
        <v>36</v>
      </c>
      <c r="B14" s="28"/>
      <c r="C14" s="28"/>
      <c r="D14" s="71" t="str">
        <f>IF($B$4&gt;=15,IF($B$4&gt;100,"Fel vikt",IF(ROUND($B$4*0.02,1)&lt;=1,ROUND($B$4*0.02,2)&amp;" ml",ROUND($B$4*0.02,1)&amp;" ml")),"Fel vikt")</f>
        <v>0,66 ml</v>
      </c>
      <c r="E14" s="29" t="s">
        <v>16</v>
      </c>
      <c r="F14" s="30" t="str">
        <f>IF($B$4&gt;=15,IF($B$4&gt;100,"Fel vikt",ROUND($B$4*0.03,1)&amp;" ml/tim"),"Fel vikt")</f>
        <v>1 ml/tim</v>
      </c>
      <c r="G14" s="3"/>
      <c r="H14" s="3"/>
    </row>
    <row r="15" spans="1:12" ht="15.5" x14ac:dyDescent="0.35">
      <c r="A15" s="31" t="s">
        <v>17</v>
      </c>
      <c r="B15" s="28"/>
      <c r="C15" s="28"/>
      <c r="D15" s="28"/>
      <c r="E15" s="29" t="s">
        <v>18</v>
      </c>
      <c r="F15" s="30" t="str">
        <f>IF($B$4&gt;=15,IF($B$4&gt;100,"Fel vikt",ROUND($B$4*0.04,1)&amp;" ml/tim"),"Fel vikt")</f>
        <v>1,3 ml/tim</v>
      </c>
      <c r="G15" s="3"/>
      <c r="H15" s="3"/>
    </row>
    <row r="16" spans="1:12" ht="22" x14ac:dyDescent="0.65">
      <c r="A16" s="36" t="s">
        <v>19</v>
      </c>
      <c r="B16" s="37"/>
      <c r="C16" s="38"/>
      <c r="D16" s="39"/>
      <c r="E16" s="34"/>
      <c r="F16" s="35"/>
      <c r="G16" s="2"/>
      <c r="H16" s="2"/>
      <c r="K16" t="str">
        <f>IF($B$4=143,"Till", " ")</f>
        <v xml:space="preserve"> </v>
      </c>
      <c r="L16" t="str">
        <f>IF($B$4=143,"Stefan", " ")</f>
        <v xml:space="preserve"> </v>
      </c>
    </row>
    <row r="17" spans="1:8" ht="15.5" x14ac:dyDescent="0.35">
      <c r="A17" s="5"/>
      <c r="B17" s="6"/>
      <c r="C17" s="7"/>
      <c r="D17" s="1"/>
      <c r="E17" s="1"/>
      <c r="F17" s="1"/>
      <c r="G17" s="2"/>
      <c r="H17" s="2"/>
    </row>
    <row r="18" spans="1:8" ht="15.5" x14ac:dyDescent="0.35">
      <c r="A18" s="25" t="s">
        <v>20</v>
      </c>
      <c r="B18" s="27"/>
      <c r="C18" s="27"/>
      <c r="D18" s="27"/>
      <c r="E18" s="27"/>
      <c r="F18" s="40"/>
      <c r="G18" s="2"/>
      <c r="H18" s="2"/>
    </row>
    <row r="19" spans="1:8" ht="15.5" x14ac:dyDescent="0.35">
      <c r="A19" s="41"/>
      <c r="B19" s="15"/>
      <c r="C19" s="73"/>
      <c r="D19" s="72" t="s">
        <v>44</v>
      </c>
      <c r="E19" s="15"/>
      <c r="F19" s="42" t="str">
        <f>IF($B$4&gt;=15,IF($B$4&gt;100,"Fel vikt",ROUND($B$4*0.005,2)&amp;" ml"),"Fel vikt")</f>
        <v>0,17 ml</v>
      </c>
      <c r="G19" s="2"/>
      <c r="H19" s="2"/>
    </row>
    <row r="20" spans="1:8" ht="15.5" x14ac:dyDescent="0.35">
      <c r="A20" s="32" t="s">
        <v>22</v>
      </c>
      <c r="B20" s="19"/>
      <c r="C20" s="19"/>
      <c r="D20" s="19"/>
      <c r="E20" s="19"/>
      <c r="F20" s="43"/>
      <c r="G20" s="2"/>
      <c r="H20" s="2"/>
    </row>
    <row r="21" spans="1:8" ht="15.5" x14ac:dyDescent="0.35">
      <c r="A21" s="32" t="s">
        <v>23</v>
      </c>
      <c r="B21" s="19"/>
      <c r="C21" s="19"/>
      <c r="D21" s="19"/>
      <c r="E21" s="19"/>
      <c r="F21" s="43"/>
      <c r="G21" s="2"/>
      <c r="H21" s="2"/>
    </row>
    <row r="22" spans="1:8" ht="15.5" x14ac:dyDescent="0.35">
      <c r="A22" s="44" t="s">
        <v>24</v>
      </c>
      <c r="B22" s="33"/>
      <c r="C22" s="33"/>
      <c r="D22" s="33"/>
      <c r="E22" s="33"/>
      <c r="F22" s="21"/>
      <c r="G22" s="2"/>
      <c r="H22" s="2"/>
    </row>
    <row r="23" spans="1:8" ht="15.5" x14ac:dyDescent="0.35">
      <c r="A23" s="4"/>
      <c r="B23" s="1"/>
      <c r="C23" s="1"/>
      <c r="D23" s="1"/>
      <c r="E23" s="1"/>
      <c r="F23" s="1"/>
      <c r="G23" s="2"/>
      <c r="H23" s="2"/>
    </row>
    <row r="24" spans="1:8" ht="15.5" x14ac:dyDescent="0.35">
      <c r="A24" s="25" t="s">
        <v>25</v>
      </c>
      <c r="B24" s="27"/>
      <c r="C24" s="27"/>
      <c r="D24" s="27"/>
      <c r="E24" s="27"/>
      <c r="F24" s="45" t="s">
        <v>38</v>
      </c>
      <c r="G24" s="2"/>
      <c r="H24" s="2"/>
    </row>
    <row r="25" spans="1:8" ht="15.5" x14ac:dyDescent="0.35">
      <c r="A25" s="32" t="s">
        <v>27</v>
      </c>
      <c r="B25" s="19"/>
      <c r="C25" s="19"/>
      <c r="D25" s="19"/>
      <c r="E25" s="19"/>
      <c r="F25" s="46"/>
      <c r="G25" s="2"/>
      <c r="H25" s="2"/>
    </row>
    <row r="26" spans="1:8" ht="15.5" x14ac:dyDescent="0.35">
      <c r="A26" s="44" t="s">
        <v>28</v>
      </c>
      <c r="B26" s="33"/>
      <c r="C26" s="33"/>
      <c r="D26" s="33"/>
      <c r="E26" s="33"/>
      <c r="F26" s="47" t="s">
        <v>29</v>
      </c>
      <c r="G26" s="2"/>
      <c r="H26" s="2"/>
    </row>
    <row r="27" spans="1:8" ht="13" x14ac:dyDescent="0.3">
      <c r="A27" s="2"/>
      <c r="B27" s="2"/>
      <c r="C27" s="2"/>
      <c r="D27" s="2"/>
      <c r="E27" s="2"/>
      <c r="F27" s="2"/>
      <c r="G27" s="2"/>
      <c r="H27" s="2"/>
    </row>
    <row r="86" spans="1:6" ht="15.5" x14ac:dyDescent="0.35">
      <c r="A86" s="60" t="s">
        <v>30</v>
      </c>
      <c r="B86" s="61"/>
      <c r="C86" s="61"/>
      <c r="D86" s="61"/>
      <c r="E86" s="75"/>
      <c r="F86" s="76"/>
    </row>
    <row r="87" spans="1:6" ht="15.5" x14ac:dyDescent="0.35">
      <c r="A87" s="58" t="s">
        <v>31</v>
      </c>
      <c r="B87" s="57"/>
      <c r="C87" s="57"/>
      <c r="D87" s="57"/>
      <c r="E87" s="77"/>
      <c r="F87" s="78"/>
    </row>
    <row r="88" spans="1:6" ht="15.5" x14ac:dyDescent="0.35">
      <c r="A88" s="70" t="s">
        <v>32</v>
      </c>
      <c r="B88" s="59"/>
      <c r="C88" s="59"/>
      <c r="D88" s="59"/>
      <c r="E88" s="79"/>
      <c r="F88" s="80"/>
    </row>
  </sheetData>
  <sheetProtection algorithmName="SHA-512" hashValue="ked5XoNT3KDtasW+sDv3+lxK2um2I6Cf21DUk/j1h/pHn0W/rChgDXQa02/oSY0w1x6ksCw6KBa9de8eaeLF+A==" saltValue="hrg/7JBxexssBcPeYR4YBA==" spinCount="100000" sheet="1" objects="1" scenarios="1"/>
  <phoneticPr fontId="5" type="noConversion"/>
  <pageMargins left="0.39370078740157483" right="0.78740157480314965" top="0.39370078740157483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87"/>
  <sheetViews>
    <sheetView view="pageBreakPreview" zoomScale="80" zoomScaleNormal="75" zoomScaleSheetLayoutView="80" workbookViewId="0">
      <selection activeCell="B4" sqref="B4"/>
    </sheetView>
  </sheetViews>
  <sheetFormatPr defaultColWidth="9.1796875" defaultRowHeight="12.5" x14ac:dyDescent="0.25"/>
  <cols>
    <col min="1" max="1" width="25.453125" style="74" customWidth="1"/>
    <col min="2" max="2" width="11.7265625" style="74" customWidth="1"/>
    <col min="3" max="3" width="23.81640625" style="74" customWidth="1"/>
    <col min="4" max="4" width="22.26953125" style="74" customWidth="1"/>
    <col min="5" max="5" width="18.1796875" style="74" customWidth="1"/>
    <col min="6" max="6" width="16" style="74" customWidth="1"/>
    <col min="7" max="7" width="10.54296875" style="74" customWidth="1"/>
  </cols>
  <sheetData>
    <row r="1" spans="1:9" ht="18" x14ac:dyDescent="0.4">
      <c r="A1" s="13" t="s">
        <v>45</v>
      </c>
      <c r="B1" s="11"/>
      <c r="C1" s="10"/>
      <c r="D1" s="8"/>
      <c r="E1" s="2"/>
      <c r="F1" s="2"/>
      <c r="G1" s="2"/>
    </row>
    <row r="2" spans="1:9" ht="13" x14ac:dyDescent="0.3">
      <c r="A2" s="10"/>
      <c r="B2" s="10"/>
      <c r="C2" s="10"/>
      <c r="D2" s="8"/>
      <c r="E2" s="2"/>
      <c r="F2" s="2"/>
      <c r="G2" s="2"/>
    </row>
    <row r="3" spans="1:9" ht="15.5" x14ac:dyDescent="0.35">
      <c r="A3" s="18" t="s">
        <v>1</v>
      </c>
      <c r="B3" s="14">
        <f ca="1">TODAY()</f>
        <v>45575</v>
      </c>
      <c r="C3" s="19"/>
      <c r="D3" s="8"/>
      <c r="E3" s="2"/>
      <c r="F3" s="2"/>
      <c r="G3" s="2"/>
    </row>
    <row r="4" spans="1:9" ht="15.5" x14ac:dyDescent="0.35">
      <c r="A4" s="18" t="s">
        <v>2</v>
      </c>
      <c r="B4" s="16">
        <v>50</v>
      </c>
      <c r="C4" s="18" t="s">
        <v>3</v>
      </c>
      <c r="D4" s="8"/>
      <c r="E4" s="2"/>
      <c r="F4" s="2"/>
      <c r="G4" s="2"/>
    </row>
    <row r="5" spans="1:9" ht="15.5" x14ac:dyDescent="0.35">
      <c r="A5" s="19"/>
      <c r="B5" s="19"/>
      <c r="C5" s="19"/>
      <c r="D5" s="8"/>
      <c r="E5" s="2"/>
      <c r="F5" s="2"/>
      <c r="G5" s="2"/>
    </row>
    <row r="6" spans="1:9" ht="15.5" x14ac:dyDescent="0.35">
      <c r="A6" s="20" t="s">
        <v>4</v>
      </c>
      <c r="B6" s="17"/>
      <c r="C6" s="21"/>
      <c r="D6" s="8"/>
      <c r="E6" s="2"/>
      <c r="F6" s="2"/>
      <c r="G6" s="2"/>
    </row>
    <row r="7" spans="1:9" ht="15.5" x14ac:dyDescent="0.35">
      <c r="A7" s="2"/>
      <c r="B7" s="9"/>
      <c r="C7" s="2"/>
      <c r="D7" s="2"/>
      <c r="E7" s="2"/>
      <c r="F7" s="2"/>
      <c r="G7" s="2"/>
    </row>
    <row r="8" spans="1:9" ht="18" x14ac:dyDescent="0.25">
      <c r="A8" s="22" t="s">
        <v>5</v>
      </c>
      <c r="B8" s="23"/>
      <c r="C8" s="24"/>
      <c r="D8" s="12"/>
      <c r="E8" s="12"/>
      <c r="F8" s="64" t="s">
        <v>47</v>
      </c>
      <c r="G8" s="3"/>
    </row>
    <row r="9" spans="1:9" ht="15.5" x14ac:dyDescent="0.35">
      <c r="A9" s="7"/>
      <c r="B9" s="6"/>
      <c r="C9" s="4"/>
      <c r="D9" s="1"/>
      <c r="E9" s="1"/>
      <c r="F9" s="1"/>
      <c r="G9" s="2"/>
    </row>
    <row r="10" spans="1:9" ht="15.5" x14ac:dyDescent="0.35">
      <c r="A10" s="25" t="s">
        <v>6</v>
      </c>
      <c r="B10" s="26"/>
      <c r="C10" s="27"/>
      <c r="D10" s="27"/>
      <c r="E10" s="62" t="s">
        <v>41</v>
      </c>
      <c r="F10" s="63" t="s">
        <v>8</v>
      </c>
      <c r="G10" s="2"/>
    </row>
    <row r="11" spans="1:9" ht="15.5" x14ac:dyDescent="0.35">
      <c r="A11" s="32" t="s">
        <v>46</v>
      </c>
      <c r="B11" s="28"/>
      <c r="C11" s="28"/>
      <c r="D11" s="28"/>
      <c r="E11" s="29" t="s">
        <v>12</v>
      </c>
      <c r="F11" s="30" t="str">
        <f>IF($B$4&gt;=15,IF($B$4&gt;100,"Fel vikt",ROUND($B$4*0.01/5,1)&amp;" ml/tim"),"Fel vikt")</f>
        <v>0,1 ml/tim</v>
      </c>
      <c r="G11" s="3"/>
    </row>
    <row r="12" spans="1:9" ht="15.5" x14ac:dyDescent="0.35">
      <c r="A12" s="31" t="s">
        <v>43</v>
      </c>
      <c r="B12" s="28"/>
      <c r="C12" s="28"/>
      <c r="D12" s="28"/>
      <c r="E12" s="29" t="s">
        <v>14</v>
      </c>
      <c r="F12" s="30" t="str">
        <f>IF($B$4&gt;=15,IF($B$4&gt;100,"Fel vikt",ROUND($B$4*0.02/5,1)&amp;" ml/tim"),"Fel vikt")</f>
        <v>0,2 ml/tim</v>
      </c>
      <c r="G12" s="3"/>
    </row>
    <row r="13" spans="1:9" ht="15.5" x14ac:dyDescent="0.35">
      <c r="A13" s="32" t="s">
        <v>13</v>
      </c>
      <c r="B13" s="28"/>
      <c r="C13" s="28"/>
      <c r="D13" s="28"/>
      <c r="E13" s="29" t="s">
        <v>18</v>
      </c>
      <c r="F13" s="30" t="str">
        <f>IF($B$4&gt;=15,IF($B$4&gt;100,"Fel vikt",ROUND($B$4*0.04/5,1)&amp;" ml/tim"),"Fel vikt")</f>
        <v>0,4 ml/tim</v>
      </c>
      <c r="G13" s="3"/>
    </row>
    <row r="14" spans="1:9" ht="15.5" x14ac:dyDescent="0.35">
      <c r="A14" s="32" t="s">
        <v>36</v>
      </c>
      <c r="B14" s="28"/>
      <c r="C14" s="28"/>
      <c r="D14" s="71" t="str">
        <f>IF($B$4&gt;=15,IF($B$4&gt;100,"Fel vikt",IF(ROUND($B$4*0.02,1)&lt;=1,ROUND($B$4*0.02,2)&amp;" ml",ROUND($B$4*0.02,1)&amp;" ml")),"Fel vikt")</f>
        <v>1 ml</v>
      </c>
      <c r="E14" s="29" t="s">
        <v>48</v>
      </c>
      <c r="F14" s="30" t="str">
        <f>IF($B$4&gt;=15,IF($B$4&gt;100,"Fel vikt",ROUND($B$4*0.06/5,1)&amp;" ml/tim"),"Fel vikt")</f>
        <v>0,6 ml/tim</v>
      </c>
      <c r="G14" s="3"/>
    </row>
    <row r="15" spans="1:9" ht="15.5" x14ac:dyDescent="0.35">
      <c r="A15" s="31" t="s">
        <v>17</v>
      </c>
      <c r="B15" s="28"/>
      <c r="C15" s="28"/>
      <c r="D15" s="28"/>
      <c r="E15" s="29" t="s">
        <v>49</v>
      </c>
      <c r="F15" s="30" t="str">
        <f>IF($B$4&gt;=15,IF($B$4&gt;100,"Fel vikt",ROUND($B$4*0.08/5,1)&amp;" ml/tim"),"Fel vikt")</f>
        <v>0,8 ml/tim</v>
      </c>
      <c r="G15" s="3"/>
    </row>
    <row r="16" spans="1:9" ht="22" x14ac:dyDescent="0.65">
      <c r="A16" s="36" t="s">
        <v>19</v>
      </c>
      <c r="B16" s="37"/>
      <c r="C16" s="38"/>
      <c r="D16" s="39"/>
      <c r="E16" s="34"/>
      <c r="F16" s="35"/>
      <c r="G16" s="2"/>
      <c r="H16" t="str">
        <f>IF($B$4=143,"Till", " ")</f>
        <v xml:space="preserve"> </v>
      </c>
      <c r="I16" t="str">
        <f>IF($B$4=143,"Stefan", " ")</f>
        <v xml:space="preserve"> </v>
      </c>
    </row>
    <row r="17" spans="1:7" ht="15.5" x14ac:dyDescent="0.35">
      <c r="A17" s="5"/>
      <c r="B17" s="6"/>
      <c r="C17" s="7"/>
      <c r="D17" s="1"/>
      <c r="E17" s="1"/>
      <c r="F17" s="1"/>
      <c r="G17" s="2"/>
    </row>
    <row r="18" spans="1:7" ht="15.5" x14ac:dyDescent="0.35">
      <c r="A18" s="25" t="s">
        <v>20</v>
      </c>
      <c r="B18" s="27"/>
      <c r="C18" s="27"/>
      <c r="D18" s="27"/>
      <c r="E18" s="27"/>
      <c r="F18" s="40"/>
      <c r="G18" s="2"/>
    </row>
    <row r="19" spans="1:7" ht="15.5" x14ac:dyDescent="0.35">
      <c r="A19" s="41"/>
      <c r="B19" s="15"/>
      <c r="C19" s="73"/>
      <c r="D19" s="72" t="s">
        <v>44</v>
      </c>
      <c r="E19" s="15"/>
      <c r="F19" s="42" t="str">
        <f>IF($B$4&gt;=15,IF($B$4&gt;100,"Fel vikt",ROUND($B$4*0.005,2)&amp;" ml"),"Fel vikt")</f>
        <v>0,25 ml</v>
      </c>
      <c r="G19" s="2"/>
    </row>
    <row r="20" spans="1:7" ht="15.5" x14ac:dyDescent="0.35">
      <c r="A20" s="32" t="s">
        <v>22</v>
      </c>
      <c r="B20" s="19"/>
      <c r="C20" s="19"/>
      <c r="D20" s="19"/>
      <c r="E20" s="19"/>
      <c r="F20" s="43"/>
      <c r="G20" s="2"/>
    </row>
    <row r="21" spans="1:7" ht="15.5" x14ac:dyDescent="0.35">
      <c r="A21" s="32" t="s">
        <v>23</v>
      </c>
      <c r="B21" s="19"/>
      <c r="C21" s="19"/>
      <c r="D21" s="19"/>
      <c r="E21" s="19"/>
      <c r="F21" s="43"/>
      <c r="G21" s="2"/>
    </row>
    <row r="22" spans="1:7" ht="15.5" x14ac:dyDescent="0.35">
      <c r="A22" s="44" t="s">
        <v>24</v>
      </c>
      <c r="B22" s="33"/>
      <c r="C22" s="33"/>
      <c r="D22" s="33"/>
      <c r="E22" s="33"/>
      <c r="F22" s="21"/>
      <c r="G22" s="2"/>
    </row>
    <row r="23" spans="1:7" ht="15.5" x14ac:dyDescent="0.35">
      <c r="A23" s="4"/>
      <c r="B23" s="4"/>
      <c r="C23" s="1"/>
      <c r="D23" s="1"/>
      <c r="E23" s="1"/>
      <c r="F23" s="1"/>
      <c r="G23" s="2"/>
    </row>
    <row r="24" spans="1:7" ht="15.5" x14ac:dyDescent="0.35">
      <c r="A24" s="25" t="s">
        <v>25</v>
      </c>
      <c r="B24" s="27"/>
      <c r="C24" s="27"/>
      <c r="D24" s="27"/>
      <c r="E24" s="27"/>
      <c r="F24" s="45" t="s">
        <v>38</v>
      </c>
      <c r="G24" s="2"/>
    </row>
    <row r="25" spans="1:7" ht="15.5" x14ac:dyDescent="0.35">
      <c r="A25" s="32" t="s">
        <v>27</v>
      </c>
      <c r="B25" s="19"/>
      <c r="C25" s="19"/>
      <c r="D25" s="19"/>
      <c r="E25" s="19"/>
      <c r="F25" s="46"/>
      <c r="G25" s="2"/>
    </row>
    <row r="26" spans="1:7" ht="15.5" x14ac:dyDescent="0.35">
      <c r="A26" s="44" t="s">
        <v>28</v>
      </c>
      <c r="B26" s="33"/>
      <c r="C26" s="33"/>
      <c r="D26" s="33"/>
      <c r="E26" s="33"/>
      <c r="F26" s="47" t="s">
        <v>29</v>
      </c>
      <c r="G26" s="2"/>
    </row>
    <row r="27" spans="1:7" ht="13" x14ac:dyDescent="0.3">
      <c r="A27" s="2"/>
      <c r="B27" s="2"/>
      <c r="C27" s="2"/>
      <c r="D27" s="2"/>
      <c r="E27" s="2"/>
      <c r="F27" s="2"/>
      <c r="G27" s="2"/>
    </row>
    <row r="85" spans="1:6" ht="15.5" x14ac:dyDescent="0.35">
      <c r="A85" s="60" t="s">
        <v>30</v>
      </c>
      <c r="B85" s="61"/>
      <c r="C85" s="61"/>
      <c r="D85" s="61"/>
      <c r="E85" s="75"/>
      <c r="F85" s="76"/>
    </row>
    <row r="86" spans="1:6" ht="15.5" x14ac:dyDescent="0.35">
      <c r="A86" s="58" t="s">
        <v>31</v>
      </c>
      <c r="B86" s="57"/>
      <c r="C86" s="57"/>
      <c r="D86" s="57"/>
      <c r="E86" s="77"/>
      <c r="F86" s="78"/>
    </row>
    <row r="87" spans="1:6" ht="15.5" x14ac:dyDescent="0.35">
      <c r="A87" s="70" t="s">
        <v>32</v>
      </c>
      <c r="B87" s="59"/>
      <c r="C87" s="59"/>
      <c r="D87" s="59"/>
      <c r="E87" s="79"/>
      <c r="F87" s="80"/>
    </row>
  </sheetData>
  <sheetProtection algorithmName="SHA-512" hashValue="K14/xhJ4N8MPuCDmP8AYFvmMiKr4/jy7OOj2SniX6uxTYV6ERsOnGgf9VPtLv8ztUSAPc+0J5FEia9FAJSNVfg==" saltValue="XiydhG780XMa4XLB37TM2w==" spinCount="100000" sheet="1" objects="1" scenarios="1"/>
  <pageMargins left="0.39370078740157483" right="0.78740157480314965" top="0.39370078740157483" bottom="0.39370078740157483" header="0.51181102362204722" footer="0.51181102362204722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88"/>
  <sheetViews>
    <sheetView tabSelected="1" view="pageBreakPreview" zoomScale="80" zoomScaleNormal="75" zoomScaleSheetLayoutView="80" workbookViewId="0">
      <selection activeCell="B4" sqref="B4"/>
    </sheetView>
  </sheetViews>
  <sheetFormatPr defaultColWidth="9.1796875" defaultRowHeight="12.5" x14ac:dyDescent="0.25"/>
  <cols>
    <col min="1" max="1" width="25.453125" style="74" customWidth="1"/>
    <col min="2" max="2" width="11.7265625" style="74" customWidth="1"/>
    <col min="3" max="3" width="23.81640625" style="74" customWidth="1"/>
    <col min="4" max="4" width="22.26953125" style="74" customWidth="1"/>
    <col min="5" max="5" width="18.1796875" style="74" customWidth="1"/>
    <col min="6" max="6" width="16" style="74" customWidth="1"/>
    <col min="7" max="7" width="10.54296875" style="74" customWidth="1"/>
    <col min="8" max="10" width="9.1796875" style="74" customWidth="1"/>
  </cols>
  <sheetData>
    <row r="1" spans="1:12" ht="18" x14ac:dyDescent="0.4">
      <c r="A1" s="13" t="s">
        <v>45</v>
      </c>
      <c r="B1" s="11"/>
      <c r="C1" s="10"/>
      <c r="D1" s="8"/>
      <c r="E1" s="2"/>
      <c r="F1" s="2"/>
      <c r="G1" s="2"/>
      <c r="H1" s="2"/>
    </row>
    <row r="2" spans="1:12" ht="13" x14ac:dyDescent="0.3">
      <c r="A2" s="10"/>
      <c r="B2" s="10"/>
      <c r="C2" s="10"/>
      <c r="D2" s="8"/>
      <c r="E2" s="2"/>
      <c r="F2" s="2"/>
      <c r="G2" s="2"/>
      <c r="H2" s="2"/>
    </row>
    <row r="3" spans="1:12" ht="15.5" x14ac:dyDescent="0.35">
      <c r="A3" s="18" t="s">
        <v>1</v>
      </c>
      <c r="B3" s="14">
        <f ca="1">TODAY()</f>
        <v>45575</v>
      </c>
      <c r="C3" s="19"/>
      <c r="D3" s="8"/>
      <c r="E3" s="2"/>
      <c r="F3" s="2"/>
      <c r="G3" s="2"/>
      <c r="H3" s="2"/>
    </row>
    <row r="4" spans="1:12" ht="15.5" x14ac:dyDescent="0.35">
      <c r="A4" s="18" t="s">
        <v>2</v>
      </c>
      <c r="B4" s="16">
        <v>20</v>
      </c>
      <c r="C4" s="18" t="s">
        <v>3</v>
      </c>
      <c r="D4" s="8"/>
      <c r="E4" s="2"/>
      <c r="F4" s="2"/>
      <c r="G4" s="2"/>
      <c r="H4" s="2"/>
    </row>
    <row r="5" spans="1:12" ht="15.5" x14ac:dyDescent="0.35">
      <c r="A5" s="19"/>
      <c r="B5" s="19"/>
      <c r="C5" s="19"/>
      <c r="D5" s="8"/>
      <c r="E5" s="2"/>
      <c r="F5" s="2"/>
      <c r="G5" s="2"/>
      <c r="H5" s="2"/>
    </row>
    <row r="6" spans="1:12" ht="15.5" x14ac:dyDescent="0.35">
      <c r="A6" s="20" t="s">
        <v>4</v>
      </c>
      <c r="B6" s="17"/>
      <c r="C6" s="21"/>
      <c r="D6" s="8"/>
      <c r="E6" s="2"/>
      <c r="F6" s="2"/>
      <c r="G6" s="2"/>
      <c r="H6" s="2"/>
    </row>
    <row r="7" spans="1:12" ht="15.5" x14ac:dyDescent="0.35">
      <c r="A7" s="2"/>
      <c r="B7" s="9"/>
      <c r="C7" s="2"/>
      <c r="D7" s="2"/>
      <c r="E7" s="2"/>
      <c r="F7" s="2"/>
      <c r="G7" s="2"/>
      <c r="H7" s="2"/>
    </row>
    <row r="8" spans="1:12" ht="18" x14ac:dyDescent="0.25">
      <c r="A8" s="22" t="s">
        <v>5</v>
      </c>
      <c r="B8" s="23"/>
      <c r="C8" s="24"/>
      <c r="D8" s="12"/>
      <c r="E8" s="12"/>
      <c r="F8" s="64" t="str">
        <f>IF($B$4&gt;=15,IF($B$4&gt;100,"Fel vikt",1&amp;" mg/ml"),"Fel vikt")</f>
        <v>1 mg/ml</v>
      </c>
      <c r="G8" s="3"/>
      <c r="H8" s="3"/>
    </row>
    <row r="9" spans="1:12" ht="15.5" x14ac:dyDescent="0.35">
      <c r="A9" s="7"/>
      <c r="B9" s="6"/>
      <c r="C9" s="4"/>
      <c r="D9" s="1"/>
      <c r="E9" s="1"/>
      <c r="F9" s="1"/>
      <c r="G9" s="2"/>
      <c r="H9" s="2"/>
    </row>
    <row r="10" spans="1:12" ht="15.5" x14ac:dyDescent="0.35">
      <c r="A10" s="25" t="s">
        <v>6</v>
      </c>
      <c r="B10" s="26"/>
      <c r="C10" s="27"/>
      <c r="D10" s="27"/>
      <c r="E10" s="62" t="s">
        <v>41</v>
      </c>
      <c r="F10" s="63" t="s">
        <v>8</v>
      </c>
      <c r="G10" s="2"/>
      <c r="H10" s="2"/>
    </row>
    <row r="11" spans="1:12" ht="15.5" x14ac:dyDescent="0.35">
      <c r="A11" s="32" t="s">
        <v>46</v>
      </c>
      <c r="B11" s="28"/>
      <c r="C11" s="28"/>
      <c r="D11" s="28"/>
      <c r="E11" s="29" t="s">
        <v>10</v>
      </c>
      <c r="F11" s="30" t="str">
        <f>IF($B$4&gt;=15,IF($B$4&gt;100,"Fel vikt",ROUND($B$4*0.005,1)&amp;" ml/tim"),"Fel vikt")</f>
        <v>0,1 ml/tim</v>
      </c>
      <c r="G11" s="3"/>
      <c r="H11" s="3"/>
    </row>
    <row r="12" spans="1:12" ht="15.5" x14ac:dyDescent="0.35">
      <c r="A12" s="31" t="s">
        <v>43</v>
      </c>
      <c r="B12" s="28"/>
      <c r="C12" s="28"/>
      <c r="D12" s="28"/>
      <c r="E12" s="29" t="s">
        <v>12</v>
      </c>
      <c r="F12" s="30" t="str">
        <f>IF($B$4&gt;=15,IF($B$4&gt;100,"Fel vikt",ROUND($B$4*0.01,1)&amp;" ml/tim"),"Fel vikt")</f>
        <v>0,2 ml/tim</v>
      </c>
      <c r="G12" s="3"/>
      <c r="H12" s="3"/>
    </row>
    <row r="13" spans="1:12" ht="15.5" x14ac:dyDescent="0.35">
      <c r="A13" s="32" t="s">
        <v>13</v>
      </c>
      <c r="B13" s="28"/>
      <c r="C13" s="28"/>
      <c r="D13" s="28"/>
      <c r="E13" s="29" t="s">
        <v>14</v>
      </c>
      <c r="F13" s="30" t="str">
        <f>IF($B$4&gt;=15,IF($B$4&gt;100,"Fel vikt",ROUND($B$4*0.02,1)&amp;" ml/tim"),"Fel vikt")</f>
        <v>0,4 ml/tim</v>
      </c>
      <c r="G13" s="3"/>
      <c r="H13" s="3"/>
    </row>
    <row r="14" spans="1:12" ht="15.5" x14ac:dyDescent="0.35">
      <c r="A14" s="32" t="s">
        <v>36</v>
      </c>
      <c r="B14" s="28"/>
      <c r="C14" s="28"/>
      <c r="D14" s="71" t="str">
        <f>IF($B$4&gt;=15,IF($B$4&gt;100,"Fel vikt",IF(ROUND($B$4*0.02,1)&lt;=1,ROUND($B$4*0.02,2)&amp;" ml",ROUND($B$4*0.02,1)&amp;" ml")),"Fel vikt")</f>
        <v>0,4 ml</v>
      </c>
      <c r="E14" s="29" t="s">
        <v>16</v>
      </c>
      <c r="F14" s="30" t="str">
        <f>IF($B$4&gt;=15,IF($B$4&gt;100,"Fel vikt",ROUND($B$4*0.03,1)&amp;" ml/tim"),"Fel vikt")</f>
        <v>0,6 ml/tim</v>
      </c>
      <c r="G14" s="3"/>
      <c r="H14" s="3"/>
    </row>
    <row r="15" spans="1:12" ht="15.5" x14ac:dyDescent="0.35">
      <c r="A15" s="31" t="s">
        <v>17</v>
      </c>
      <c r="B15" s="28"/>
      <c r="C15" s="28"/>
      <c r="D15" s="28"/>
      <c r="E15" s="29" t="s">
        <v>18</v>
      </c>
      <c r="F15" s="30" t="str">
        <f>IF($B$4&gt;=15,IF($B$4&gt;100,"Fel vikt",ROUND($B$4*0.04,1)&amp;" ml/tim"),"Fel vikt")</f>
        <v>0,8 ml/tim</v>
      </c>
      <c r="G15" s="3"/>
      <c r="H15" s="3"/>
    </row>
    <row r="16" spans="1:12" ht="22" x14ac:dyDescent="0.65">
      <c r="A16" s="36" t="s">
        <v>19</v>
      </c>
      <c r="B16" s="37"/>
      <c r="C16" s="38"/>
      <c r="D16" s="39"/>
      <c r="E16" s="34"/>
      <c r="F16" s="35"/>
      <c r="G16" s="2"/>
      <c r="H16" s="2"/>
      <c r="K16" t="str">
        <f>IF($B$4=143,"Till", " ")</f>
        <v xml:space="preserve"> </v>
      </c>
      <c r="L16" t="str">
        <f>IF($B$4=143,"Stefan", " ")</f>
        <v xml:space="preserve"> </v>
      </c>
    </row>
    <row r="17" spans="1:8" ht="15.5" x14ac:dyDescent="0.35">
      <c r="A17" s="5"/>
      <c r="B17" s="6"/>
      <c r="C17" s="7"/>
      <c r="D17" s="1"/>
      <c r="E17" s="1"/>
      <c r="F17" s="1"/>
      <c r="G17" s="2"/>
      <c r="H17" s="2"/>
    </row>
    <row r="18" spans="1:8" ht="15.5" x14ac:dyDescent="0.35">
      <c r="A18" s="25" t="s">
        <v>20</v>
      </c>
      <c r="B18" s="27"/>
      <c r="C18" s="27"/>
      <c r="D18" s="27"/>
      <c r="E18" s="27"/>
      <c r="F18" s="40"/>
      <c r="G18" s="2"/>
      <c r="H18" s="2"/>
    </row>
    <row r="19" spans="1:8" ht="15.5" x14ac:dyDescent="0.35">
      <c r="A19" s="41"/>
      <c r="B19" s="15"/>
      <c r="C19" s="73"/>
      <c r="D19" s="72" t="s">
        <v>44</v>
      </c>
      <c r="E19" s="15"/>
      <c r="F19" s="42" t="str">
        <f>IF($B$4&gt;=15,IF($B$4&gt;100,"Fel vikt",ROUND($B$4*0.005,2)&amp;" ml"),"Fel vikt")</f>
        <v>0,1 ml</v>
      </c>
      <c r="G19" s="2"/>
      <c r="H19" s="2"/>
    </row>
    <row r="20" spans="1:8" ht="15.5" x14ac:dyDescent="0.35">
      <c r="A20" s="32" t="s">
        <v>22</v>
      </c>
      <c r="B20" s="19"/>
      <c r="C20" s="19"/>
      <c r="D20" s="19"/>
      <c r="E20" s="19"/>
      <c r="F20" s="43"/>
      <c r="G20" s="2"/>
      <c r="H20" s="2"/>
    </row>
    <row r="21" spans="1:8" ht="15.5" x14ac:dyDescent="0.35">
      <c r="A21" s="32" t="s">
        <v>23</v>
      </c>
      <c r="B21" s="19"/>
      <c r="C21" s="19"/>
      <c r="D21" s="19"/>
      <c r="E21" s="19"/>
      <c r="F21" s="43"/>
      <c r="G21" s="2"/>
      <c r="H21" s="2"/>
    </row>
    <row r="22" spans="1:8" ht="15.5" x14ac:dyDescent="0.35">
      <c r="A22" s="44" t="s">
        <v>24</v>
      </c>
      <c r="B22" s="33"/>
      <c r="C22" s="33"/>
      <c r="D22" s="33"/>
      <c r="E22" s="33"/>
      <c r="F22" s="21"/>
      <c r="G22" s="2"/>
      <c r="H22" s="2"/>
    </row>
    <row r="23" spans="1:8" ht="15.5" x14ac:dyDescent="0.35">
      <c r="A23" s="4"/>
      <c r="B23" s="1"/>
      <c r="C23" s="1"/>
      <c r="D23" s="1"/>
      <c r="E23" s="1"/>
      <c r="F23" s="1"/>
      <c r="G23" s="2"/>
      <c r="H23" s="2"/>
    </row>
    <row r="24" spans="1:8" ht="15.5" x14ac:dyDescent="0.35">
      <c r="A24" s="25" t="s">
        <v>25</v>
      </c>
      <c r="B24" s="27"/>
      <c r="C24" s="27"/>
      <c r="D24" s="27"/>
      <c r="E24" s="27"/>
      <c r="F24" s="45" t="s">
        <v>38</v>
      </c>
      <c r="G24" s="2"/>
      <c r="H24" s="2"/>
    </row>
    <row r="25" spans="1:8" ht="15.65" customHeight="1" x14ac:dyDescent="0.3">
      <c r="A25" s="89" t="s">
        <v>50</v>
      </c>
      <c r="B25" s="90"/>
      <c r="C25" s="90"/>
      <c r="D25" s="90"/>
      <c r="E25" s="90"/>
      <c r="F25" s="91"/>
      <c r="G25" s="2"/>
      <c r="H25" s="2"/>
    </row>
    <row r="26" spans="1:8" ht="15.65" customHeight="1" x14ac:dyDescent="0.3">
      <c r="A26" s="92"/>
      <c r="B26" s="93"/>
      <c r="C26" s="93"/>
      <c r="D26" s="93"/>
      <c r="E26" s="93"/>
      <c r="F26" s="94"/>
      <c r="G26" s="2"/>
      <c r="H26" s="2"/>
    </row>
    <row r="27" spans="1:8" ht="13" x14ac:dyDescent="0.3">
      <c r="A27" s="2"/>
      <c r="B27" s="2"/>
      <c r="C27" s="2"/>
      <c r="D27" s="2"/>
      <c r="E27" s="2"/>
      <c r="F27" s="2"/>
      <c r="G27" s="2"/>
      <c r="H27" s="2"/>
    </row>
    <row r="86" spans="1:6" ht="15.5" x14ac:dyDescent="0.35">
      <c r="A86" s="60" t="s">
        <v>30</v>
      </c>
      <c r="B86" s="61"/>
      <c r="C86" s="61"/>
      <c r="D86" s="61"/>
      <c r="E86" s="75"/>
      <c r="F86" s="76"/>
    </row>
    <row r="87" spans="1:6" ht="15.5" x14ac:dyDescent="0.35">
      <c r="A87" s="58" t="s">
        <v>31</v>
      </c>
      <c r="B87" s="57"/>
      <c r="C87" s="57"/>
      <c r="D87" s="57"/>
      <c r="E87" s="77"/>
      <c r="F87" s="78"/>
    </row>
    <row r="88" spans="1:6" ht="15.5" x14ac:dyDescent="0.35">
      <c r="A88" s="70" t="s">
        <v>32</v>
      </c>
      <c r="B88" s="59"/>
      <c r="C88" s="59"/>
      <c r="D88" s="59"/>
      <c r="E88" s="79"/>
      <c r="F88" s="80"/>
    </row>
  </sheetData>
  <sheetProtection algorithmName="SHA-512" hashValue="OxVeIb6wy//MQNeNuk0g88SylaWf37KJEw1/UEcb2r7xYFTev74ZsS5d3902aOBYEW5AFL4BACwglUAglluRKg==" saltValue="cWF+JpjSWFT1+etmsPK9og==" spinCount="100000" sheet="1" objects="1" scenarios="1"/>
  <mergeCells count="1">
    <mergeCell ref="A25:F26"/>
  </mergeCells>
  <pageMargins left="0.39370078740157483" right="0.78740157480314965" top="0.39370078740157483" bottom="0.39370078740157483" header="0.51181102362204722" footer="0.51181102362204722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6</vt:i4>
      </vt:variant>
    </vt:vector>
  </HeadingPairs>
  <TitlesOfParts>
    <vt:vector size="12" baseType="lpstr">
      <vt:lpstr>SKA -7 kg</vt:lpstr>
      <vt:lpstr>SKA 7-15 kg</vt:lpstr>
      <vt:lpstr>SKA &gt; 15 kg</vt:lpstr>
      <vt:lpstr>PCA &gt; 15 kg</vt:lpstr>
      <vt:lpstr>PCA 5mg per ml</vt:lpstr>
      <vt:lpstr>PCA onkologi</vt:lpstr>
      <vt:lpstr>'PCA onkologi'!OLE_LINK1</vt:lpstr>
      <vt:lpstr>'PCA &gt; 15 kg'!Utskriftsområde</vt:lpstr>
      <vt:lpstr>'PCA 5mg per ml'!Utskriftsområde</vt:lpstr>
      <vt:lpstr>'PCA onkologi'!Utskriftsområde</vt:lpstr>
      <vt:lpstr>'SKA &gt; 15 kg'!Utskriftsområde</vt:lpstr>
      <vt:lpstr>'SKA -7 kg'!Utskriftsområde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Onkolog pat PCA-PROTOKOLL_20200406</dc:title>
  <dc:subject/>
  <dc:creator/>
  <cp:keywords/>
  <dc:description/>
  <cp:lastModifiedBy/>
  <cp:revision/>
  <dcterms:created xsi:type="dcterms:W3CDTF">2012-05-16T12:43:50Z</dcterms:created>
  <dcterms:modified xsi:type="dcterms:W3CDTF">2024-10-10T08:10:32Z</dcterms:modified>
  <cp:category/>
  <cp:contentStatus/>
</cp:coreProperties>
</file>